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75" windowWidth="23415" windowHeight="12405"/>
  </bookViews>
  <sheets>
    <sheet name="Übersicht" sheetId="4" r:id="rId1"/>
    <sheet name="Baronierechner" sheetId="1" r:id="rId2"/>
    <sheet name="Eigene Domäne" sheetId="2" r:id="rId3"/>
    <sheet name="Grundregeln" sheetId="3" r:id="rId4"/>
  </sheets>
  <calcPr calcId="144525"/>
</workbook>
</file>

<file path=xl/calcChain.xml><?xml version="1.0" encoding="utf-8"?>
<calcChain xmlns="http://schemas.openxmlformats.org/spreadsheetml/2006/main">
  <c r="N24" i="4" l="1"/>
  <c r="N23" i="4"/>
  <c r="O6" i="4"/>
  <c r="C93" i="1"/>
  <c r="C94" i="1"/>
  <c r="C91" i="1"/>
  <c r="C92" i="1"/>
  <c r="B46" i="3"/>
  <c r="B47" i="3"/>
  <c r="B48" i="3"/>
  <c r="B49" i="3"/>
  <c r="B93" i="1"/>
  <c r="D59" i="1"/>
  <c r="B60" i="1" s="1"/>
  <c r="H63" i="3"/>
  <c r="G63" i="3"/>
  <c r="F63" i="3"/>
  <c r="E63" i="3"/>
  <c r="D63" i="3"/>
  <c r="C63" i="3"/>
  <c r="B63" i="3"/>
  <c r="H62" i="3"/>
  <c r="G62" i="3"/>
  <c r="F62" i="3"/>
  <c r="E62" i="3"/>
  <c r="D62" i="3"/>
  <c r="C62" i="3"/>
  <c r="B62" i="3"/>
  <c r="B87" i="1" s="1"/>
  <c r="G59" i="3"/>
  <c r="F59" i="3"/>
  <c r="E59" i="3"/>
  <c r="D59" i="3"/>
  <c r="C59" i="3"/>
  <c r="B83" i="1" s="1"/>
  <c r="B52" i="1" s="1"/>
  <c r="B59" i="3"/>
  <c r="F56" i="3"/>
  <c r="E56" i="3"/>
  <c r="D56" i="3"/>
  <c r="B66" i="1" s="1"/>
  <c r="C56" i="3"/>
  <c r="B56" i="3"/>
  <c r="E55" i="3"/>
  <c r="D55" i="3"/>
  <c r="B65" i="1" s="1"/>
  <c r="C55" i="3"/>
  <c r="B55" i="3"/>
  <c r="D54" i="3"/>
  <c r="C54" i="3"/>
  <c r="B16" i="2" s="1"/>
  <c r="B54" i="3"/>
  <c r="C53" i="3"/>
  <c r="B53" i="3"/>
  <c r="B76" i="1" s="1"/>
  <c r="B20" i="3"/>
  <c r="B18" i="2"/>
  <c r="D11" i="2"/>
  <c r="B12" i="2" s="1"/>
  <c r="B88" i="1"/>
  <c r="B78" i="1"/>
  <c r="B71" i="1"/>
  <c r="B64" i="1"/>
  <c r="B22" i="1"/>
  <c r="N6" i="4" s="1"/>
  <c r="C20" i="1"/>
  <c r="C19" i="1"/>
  <c r="C18" i="1"/>
  <c r="D15" i="1"/>
  <c r="D14" i="1"/>
  <c r="D13" i="1"/>
  <c r="D12" i="1"/>
  <c r="D11" i="1"/>
  <c r="D10" i="1"/>
  <c r="D9" i="1"/>
  <c r="D8" i="1"/>
  <c r="D6" i="1"/>
  <c r="C5" i="1"/>
  <c r="C3" i="1"/>
  <c r="B95" i="1" l="1"/>
  <c r="B48" i="1" s="1"/>
  <c r="B53" i="1"/>
  <c r="D16" i="1"/>
  <c r="B49" i="1"/>
  <c r="B46" i="1"/>
  <c r="B70" i="1"/>
  <c r="B77" i="1"/>
  <c r="B17" i="2"/>
  <c r="B23" i="2" s="1"/>
  <c r="B25" i="2" s="1"/>
  <c r="B27" i="2" s="1"/>
  <c r="B39" i="1" s="1"/>
  <c r="B26" i="1"/>
  <c r="P14" i="4" s="1"/>
  <c r="B36" i="1"/>
  <c r="B43" i="1"/>
  <c r="N36" i="4" s="1"/>
  <c r="C22" i="1"/>
  <c r="B37" i="1"/>
  <c r="B72" i="1"/>
  <c r="B79" i="1"/>
  <c r="B23" i="1"/>
  <c r="P11" i="4" s="1"/>
  <c r="B25" i="1"/>
  <c r="P13" i="4" s="1"/>
  <c r="B35" i="1" l="1"/>
  <c r="O8" i="4"/>
  <c r="O9" i="4"/>
  <c r="B51" i="1"/>
  <c r="B50" i="1"/>
  <c r="C25" i="1"/>
  <c r="C26" i="1"/>
  <c r="C23" i="1"/>
  <c r="B24" i="1"/>
  <c r="F24" i="1" l="1"/>
  <c r="F25" i="1" s="1"/>
  <c r="P16" i="4" s="1"/>
  <c r="P17" i="4" s="1"/>
  <c r="P12" i="4"/>
  <c r="B38" i="1"/>
  <c r="C24" i="1"/>
  <c r="B28" i="1" s="1"/>
  <c r="N26" i="4" l="1"/>
  <c r="F27" i="1"/>
  <c r="N22" i="4" s="1"/>
  <c r="N20" i="4" s="1"/>
  <c r="B34" i="1"/>
  <c r="B33" i="1"/>
  <c r="B32" i="1"/>
  <c r="B30" i="1" l="1"/>
  <c r="B45" i="1" l="1"/>
  <c r="N33" i="4"/>
  <c r="C97" i="1"/>
  <c r="B44" i="1"/>
  <c r="D57" i="1"/>
  <c r="B58" i="1" l="1"/>
  <c r="B47" i="1" s="1"/>
  <c r="B41" i="1" s="1"/>
  <c r="C98" i="1" l="1"/>
  <c r="C100" i="1" s="1"/>
  <c r="N31" i="4" s="1"/>
  <c r="N34" i="4"/>
</calcChain>
</file>

<file path=xl/sharedStrings.xml><?xml version="1.0" encoding="utf-8"?>
<sst xmlns="http://schemas.openxmlformats.org/spreadsheetml/2006/main" count="354" uniqueCount="240">
  <si>
    <t>Da der Umsatz eines eigenen Wirtschaftsbetriebs schwierig abzuschätzen ist, könnte das Einkommen anhand der zu erwartenden Rendite abgeschätzt werden</t>
  </si>
  <si>
    <t xml:space="preserve">z.B. </t>
  </si>
  <si>
    <t>- Handwerksbetrieb</t>
  </si>
  <si>
    <t>5-10% Rendite</t>
  </si>
  <si>
    <t>- Manufaktur (noch selten in Aventurien)</t>
  </si>
  <si>
    <t>10-20% Rendite</t>
  </si>
  <si>
    <t>- Handel</t>
  </si>
  <si>
    <t>10-35% Rendite</t>
  </si>
  <si>
    <t>Die Berechnung ist kostenbasiert</t>
  </si>
  <si>
    <t>Infrastruktur</t>
  </si>
  <si>
    <t>Entwicklungsstand</t>
  </si>
  <si>
    <t>- Wirtschaftsgebäude (Fläche)</t>
  </si>
  <si>
    <t>in Rechtsschritt</t>
  </si>
  <si>
    <t>Grundregeln (aus der Spielhilfe "Der ringende Herr" - Aventurische Boten 158/159 und Ergänzungen aus "Mit wehenden Bannern", "Tempel, Türme und Tavernen", "Armorium Ardariticum" sowie dem "Meisterschirm"</t>
  </si>
  <si>
    <t>Bevölkerungsgruppen</t>
  </si>
  <si>
    <t>Niemandsland</t>
  </si>
  <si>
    <t>Pionierland</t>
  </si>
  <si>
    <t>Ländlich</t>
  </si>
  <si>
    <t>Durchschnitt</t>
  </si>
  <si>
    <t>Urban</t>
  </si>
  <si>
    <t>(150 Ew): 
Fernab der Zivilisation bestreiten einige Seelen ihr (Über-)Leben. Beispiele: die Grüne Ebene, abgelegene Regionen von Thorwal</t>
  </si>
  <si>
    <t>(500 Ew): 
Die Menschen haben sich das Land erschloss, doch die Zivilisation ist noch fern. Beispiele: Svelltland, Ebene von Hardorp</t>
  </si>
  <si>
    <t>(1.500 Ew): 
Ein gewisses Maß an Zivilisation ist erreicht,es gibt auch einzelne Städte, doch gemeinhin wird man als "hinterwäldlerisch" belächelt. Beispiele: Baronien in Weiden und Greifenfurt, Nostria und Andergast, nördliche Siedlerstädte</t>
  </si>
  <si>
    <t>(3.500 Ew): 
Das durchschnittliche Lehen im mittleren Aventurien. Beispiele: Baronien in Kasch, Albernia und
den Nordmarken, Mhanadistan</t>
  </si>
  <si>
    <t>(7.000 Ew): 
Der höchste Grad an Zivilisation in Aventurien ist erreicht. Es gibt viele Städte und das Land ist erschlossen. Beispiel: Baronien in Almada und Garetien, Horasreich, tulamidische Stadtstaaten</t>
  </si>
  <si>
    <t>Monatseinkünfte Untertanen [Dukaten]</t>
  </si>
  <si>
    <t>Investition in Dukaten (falls Neubau nötig)</t>
  </si>
  <si>
    <t>Billige Arbeitskraft</t>
  </si>
  <si>
    <t>-- Instandhaltung 2,5%</t>
  </si>
  <si>
    <t>Einfacher Arbeiter</t>
  </si>
  <si>
    <t>Bodengüte</t>
  </si>
  <si>
    <t>Qualifizierter Arbeiter</t>
  </si>
  <si>
    <t>Karg</t>
  </si>
  <si>
    <t>Hochqualifizierter Arbeiter</t>
  </si>
  <si>
    <t>Multiplikator</t>
  </si>
  <si>
    <t>Karg: Wüstengebiete, Steppen, Hoher Norden</t>
  </si>
  <si>
    <t>in Dukaten pro Jahr</t>
  </si>
  <si>
    <t>Unwirtlich: Weidener Land, Koschgebirge, thorwalsche Fjorde</t>
  </si>
  <si>
    <t>Personal für den Betrieb</t>
  </si>
  <si>
    <t>Durchschnittlich: Nordmarken, Svellttal, Bornland, alanfanische Plantagen, Maraskan</t>
  </si>
  <si>
    <t>(Anzahl in Tabelle eintragen)</t>
  </si>
  <si>
    <t>in Dukaten p.a.</t>
  </si>
  <si>
    <t>Fruchtbar: Garetien, Mhanadistan</t>
  </si>
  <si>
    <t>Sehr fruchtbar: Almada, Liebliches Feld, Aranien, Balash</t>
  </si>
  <si>
    <t>Besonderheiten</t>
  </si>
  <si>
    <t>Modifikation des Multiplikators</t>
  </si>
  <si>
    <t>durchschnittlich</t>
  </si>
  <si>
    <t>wenige Straßen</t>
  </si>
  <si>
    <t>Anschluss an Reichsstraße</t>
  </si>
  <si>
    <t>Start-Multiplikator</t>
  </si>
  <si>
    <t>kompetent</t>
  </si>
  <si>
    <t>meisterlich</t>
  </si>
  <si>
    <t>brilliant</t>
  </si>
  <si>
    <t>vollendet</t>
  </si>
  <si>
    <t>Einfacher Arbeiter (z.B. Handlanger, Hilfsarbeiter, Lehrlinge)</t>
  </si>
  <si>
    <t>schiffbarer Fluss</t>
  </si>
  <si>
    <t>Flusshafen mit Stapelrecht</t>
  </si>
  <si>
    <t>Kohlebergwerk</t>
  </si>
  <si>
    <t>Miene (Keine Edelmetalle)</t>
  </si>
  <si>
    <t>Silbermine</t>
  </si>
  <si>
    <t>Goldmine</t>
  </si>
  <si>
    <t>Einnahmen</t>
  </si>
  <si>
    <t>Zehnt (5% (golden) bis 50% (Krieg)</t>
  </si>
  <si>
    <t>Bannergeld (20D x Faktor)</t>
  </si>
  <si>
    <t>Weingeld</t>
  </si>
  <si>
    <t>Sterbegeld</t>
  </si>
  <si>
    <t>Rechtsprechung</t>
  </si>
  <si>
    <t>Zölle</t>
  </si>
  <si>
    <t>Eigene Domäne</t>
  </si>
  <si>
    <t>je nach eigenem Betrieb</t>
  </si>
  <si>
    <t>Ausgaben</t>
  </si>
  <si>
    <t>Kaisertaler</t>
  </si>
  <si>
    <t>1 bis 1,4 D je Untertan pro Jahr</t>
  </si>
  <si>
    <t>Einfach</t>
  </si>
  <si>
    <t>Abgabe an höhere Instanz</t>
  </si>
  <si>
    <t>Anteil der Jahreseinnahmen</t>
  </si>
  <si>
    <t>Qualifizierter Arbeiter (z.B. Gesellen, Arbeiter)</t>
  </si>
  <si>
    <t>- wenige Straßen (abgelegen)</t>
  </si>
  <si>
    <t>Tempelzehnt</t>
  </si>
  <si>
    <t>Instandhaltung</t>
  </si>
  <si>
    <t>nein</t>
  </si>
  <si>
    <t>Jährlich in Dukaten/100 EW</t>
  </si>
  <si>
    <t>Amtsinhaber und Bedienstete</t>
  </si>
  <si>
    <t>Qualifiziert</t>
  </si>
  <si>
    <t>Hochqualifizierter Arbeiter (z.B. Meister, Leiter Manufakur)</t>
  </si>
  <si>
    <t>- Anschluss an Reichsstraße</t>
  </si>
  <si>
    <t>- schiffbarer Fluss</t>
  </si>
  <si>
    <t>Hochqualifiziert</t>
  </si>
  <si>
    <t>Roh-, Hilfs- und Betriebsstoffe</t>
  </si>
  <si>
    <t>Kosten für Roh-, Hilfs- und Betriebsstoffe</t>
  </si>
  <si>
    <t xml:space="preserve">GESAMTKOSTEN </t>
  </si>
  <si>
    <t>- Flusshafen mit Stapelrecht</t>
  </si>
  <si>
    <t>Billig</t>
  </si>
  <si>
    <t>- Kohlebergwerk</t>
  </si>
  <si>
    <t>Rendite</t>
  </si>
  <si>
    <t>- Miene (Keine Edelmetalle)</t>
  </si>
  <si>
    <t>GESAMTEINNAHMEN</t>
  </si>
  <si>
    <t>- Silbermine</t>
  </si>
  <si>
    <t>SALDO (Gewinn)</t>
  </si>
  <si>
    <t>- Goldmine</t>
  </si>
  <si>
    <t>Finaler Multiplikator</t>
  </si>
  <si>
    <t>Bevölkerung im Gebiet</t>
  </si>
  <si>
    <t>Gardist</t>
  </si>
  <si>
    <t>Korporal</t>
  </si>
  <si>
    <t>Weibel</t>
  </si>
  <si>
    <t>Fähnrich</t>
  </si>
  <si>
    <t>Hauptmann</t>
  </si>
  <si>
    <t>Oberst</t>
  </si>
  <si>
    <t xml:space="preserve">Richtwert, falls genaue Zahl unbekannt. Mit W6 modifizieren: (1) -15%, (2) -10%, (3) -5%, (4) +5%, (5) +10%, (6) +15% </t>
  </si>
  <si>
    <t>davon Kinder unter 14 J.</t>
  </si>
  <si>
    <t>- davon in Gütern des Niederadels</t>
  </si>
  <si>
    <t>Direkt unterstellte Untertanen</t>
  </si>
  <si>
    <t>Unerfahren</t>
  </si>
  <si>
    <t>Erfahren</t>
  </si>
  <si>
    <t>Durchschnittlich</t>
  </si>
  <si>
    <t>Kompetent</t>
  </si>
  <si>
    <t>Meisterlich</t>
  </si>
  <si>
    <t>Brilliant</t>
  </si>
  <si>
    <t>Vollendet</t>
  </si>
  <si>
    <t>Fußkämpfer (Schwert, Axt, Pike, Armbrust)</t>
  </si>
  <si>
    <t>- davon billige Arbeitskräfte</t>
  </si>
  <si>
    <t>Kavallerie</t>
  </si>
  <si>
    <t>(Tagelöhner, Gesinde, Lehrlinge)</t>
  </si>
  <si>
    <t>- davon einfacher Arbeiter</t>
  </si>
  <si>
    <t>Fernab der Zivilisation bestreiten einige Seelen ihr (Über-)Leben. Beispiele: die Grüne Ebene, abgelegene Regionen von Thorwal</t>
  </si>
  <si>
    <t>Die Menschen haben sich das Land erschlossen, doch die Zivilisation ist noch fern. Beispiele: Svelltland, Ebene von Hardorp</t>
  </si>
  <si>
    <t>Ein gewisses Maß an Zivilisation ist erreicht,es gibt auch einzelne Städte, doch gemeinhin wird man als ,hinterwäldlerisch' belächelt. Beispiele: Baronien in Weiden und Greifenfurt, Nostria und Andergast, nördliche Siedlerstädte</t>
  </si>
  <si>
    <t>Das durchschnittliche Lehen im mittleren Aventurien. Beispiele: Baronien im Kosch, Albernia und
den Nordmarken, Mhanadistan</t>
  </si>
  <si>
    <t>Der höchste Grad an Zivilisation in Aventurien ist erreicht. Es gibt viele Städte und das Land ist erschlossen. Beispiel: Baronien in Almada und Garetien, Horasreich, tulamidische Stadtstaaten</t>
  </si>
  <si>
    <t>Wüstengebiete, Steppen, Hoher Norden</t>
  </si>
  <si>
    <t>Weidener Land, Koschgebirge, thorwalsche Fjorde</t>
  </si>
  <si>
    <t>Nordmarken, Svellttal, Bornland, alanfanische Plantagen, Maraskan</t>
  </si>
  <si>
    <t>Garetien, Mhanadistan</t>
  </si>
  <si>
    <t>- davon qualifizierter Arbeiter</t>
  </si>
  <si>
    <t>Almada, Liebliches Feld, Aranien, Balash</t>
  </si>
  <si>
    <t>Unwirtlich</t>
  </si>
  <si>
    <t>Fruchbar</t>
  </si>
  <si>
    <t>Sehr fruchtbar</t>
  </si>
  <si>
    <t>ja</t>
  </si>
  <si>
    <t>- davon hochqualifizierter Arbeiter</t>
  </si>
  <si>
    <t>(Edelhandwerker, Magier, spezialisierte Gelehrte)</t>
  </si>
  <si>
    <t>Jahreseinkommen der Untertanen</t>
  </si>
  <si>
    <t>Dukaten</t>
  </si>
  <si>
    <t>Einnahmen des Lehnsherrn</t>
  </si>
  <si>
    <t>Dukaten pro Jahr</t>
  </si>
  <si>
    <t xml:space="preserve">Zehnt </t>
  </si>
  <si>
    <t>Einnahmen aus Zehnt</t>
  </si>
  <si>
    <t>Zahlungen des Niederadels</t>
  </si>
  <si>
    <t>Zehnt der vom Niederadel an den Lehnsherr entrichtet wird</t>
  </si>
  <si>
    <t>Bannergeld</t>
  </si>
  <si>
    <t>Bei Hochzeiten</t>
  </si>
  <si>
    <t>Bei Sterbefällen</t>
  </si>
  <si>
    <t>Aus Gebühren und Strafen</t>
  </si>
  <si>
    <t>Einkommen aus eigener Domäne</t>
  </si>
  <si>
    <t>Ausgaben für das Lehen</t>
  </si>
  <si>
    <t>Höhe des Kaisertalers</t>
  </si>
  <si>
    <t>1,0 bis 1,4 Dukaten je Untertan pro Jahr</t>
  </si>
  <si>
    <t>Abgabe an Kaiser</t>
  </si>
  <si>
    <t>Kaisertaler (wird z.T. erst nach längerer Zeit für mehrere Jahre eingezogen)</t>
  </si>
  <si>
    <t>z.B. an Grafen oder Fürsten (10%)</t>
  </si>
  <si>
    <t>an Kirchen (8%)</t>
  </si>
  <si>
    <t>Allgemeine Pflege &amp; Instandhaltung</t>
  </si>
  <si>
    <t>Straße, Brücken, Wald etc.</t>
  </si>
  <si>
    <t>Eigene Immobilien - Instandhaltung</t>
  </si>
  <si>
    <t>z.B. Wohngebäube (Gutshof, Burg) und Wirtschaftsgebäude (z.B. Pferdezucht, Brauerei, etc.)</t>
  </si>
  <si>
    <t>Pflicht-Amtsinhaber</t>
  </si>
  <si>
    <t>Weitere Angestellte</t>
  </si>
  <si>
    <t>Bedienstete</t>
  </si>
  <si>
    <t>Garde</t>
  </si>
  <si>
    <t>Söldner</t>
  </si>
  <si>
    <t>Eigene Immobilien</t>
  </si>
  <si>
    <t>Fläche der Gebäude</t>
  </si>
  <si>
    <t xml:space="preserve">- Gutshof, Haus etc. </t>
  </si>
  <si>
    <t>angen. Basiskosten</t>
  </si>
  <si>
    <t>- Befestigungsanlage, Burg</t>
  </si>
  <si>
    <t xml:space="preserve">Söldner </t>
  </si>
  <si>
    <t>(Anzahl Banner (50) in Tabelle eintragen)</t>
  </si>
  <si>
    <t>Einahmen des Lehnsherrn</t>
  </si>
  <si>
    <t>Ausgaben des Lehnsherrn</t>
  </si>
  <si>
    <t>Saldo in einem Götterlauf ohne bes. Ereignisse</t>
  </si>
  <si>
    <t>Reichsstraße 2</t>
  </si>
  <si>
    <t>Umbra-Gruben</t>
  </si>
  <si>
    <t>-- Instandhaltung 5%</t>
  </si>
  <si>
    <t>-- Instandhaltung 7%</t>
  </si>
  <si>
    <t>Tatsächliche Baukosten (falls bekannt) - siehe auch Armorium Ardariticum</t>
  </si>
  <si>
    <t>Tatsächliche Baukosten (falls bekannt) - siehe auch Tempel, Türme und Tavernen</t>
  </si>
  <si>
    <t>(Bauern, Handwerksgesellen, Gastwirte, Fischer)</t>
  </si>
  <si>
    <t>Annehmbar</t>
  </si>
  <si>
    <t>Reichlich</t>
  </si>
  <si>
    <t>Üppig</t>
  </si>
  <si>
    <t>Prachtvoll</t>
  </si>
  <si>
    <t>Wirtschaftsrechner  Baronie Menzheim</t>
  </si>
  <si>
    <t>- davon in Orten mit Stadtrecht (Menzheim)</t>
  </si>
  <si>
    <t>(Standard 10% - 5% in goldenen Zeiten bis 50% in Kriegszeiten)</t>
  </si>
  <si>
    <t>eigentlich z.T. auch in Naturalien aber zur Vereinfachung hier als Wert</t>
  </si>
  <si>
    <t>(Freibauern, Handwerksmeister, Gelehrte)</t>
  </si>
  <si>
    <t>Anzahl Waffenpflichtige</t>
  </si>
  <si>
    <t>Anteil Verweigerer durch Bannergeld</t>
  </si>
  <si>
    <t>Anzahl freie unter den einfachen Arbeitern</t>
  </si>
  <si>
    <t>Einkommen aus eigenem Wirtschaftsbetrieb (Abschätzungshilfe in separatem Reiter.)</t>
  </si>
  <si>
    <t>Theoretische verfügbare Waffenfähige Personen bei Heerbann</t>
  </si>
  <si>
    <t>Freikauf der Untertanen von der Waffenpflicht - d.h. das reduziert Anteil der verfügbaren Waffenpflichtigen</t>
  </si>
  <si>
    <t>Abhängig von Verkehrswegen</t>
  </si>
  <si>
    <t>Anzahl zu versorgende Personen (Herrscherfamilie)</t>
  </si>
  <si>
    <t>Anzahl zu versorgende Personen (Pflichtämter)</t>
  </si>
  <si>
    <t>Lebensstil Herrscherfamilie</t>
  </si>
  <si>
    <t>Lebensstil Amtspersonen</t>
  </si>
  <si>
    <t>Kosten Lebensstil</t>
  </si>
  <si>
    <t>Drei gutbürgerliche Mahlzeiten am Tag (mindestens 1x/Woche Fleisch) dazu gutes Bier oder einfacher Wein</t>
  </si>
  <si>
    <t>Speisenfolge mit Suppe, Fleisch und Fischgerichten sowie täglichen Delikatessen, Wein und Likör, erlesenes Rauchwerk</t>
  </si>
  <si>
    <t>Fünf prachtvolle Speisen mit auserwählten Delikatessen pro Tag, Edelweine- und Liköre, teuerste Aperitive</t>
  </si>
  <si>
    <r>
      <t>Verpflegung und Haushalt</t>
    </r>
    <r>
      <rPr>
        <sz val="10"/>
        <rFont val="Arial"/>
        <family val="2"/>
      </rPr>
      <t xml:space="preserve"> (exkl. Unterkunft, Kleidung, Reisen)</t>
    </r>
  </si>
  <si>
    <t>Gute Küche mit täglich Fleisch, dazu passende Weine oder edles Bier</t>
  </si>
  <si>
    <t>Verpflegung</t>
  </si>
  <si>
    <t>Lebensstil - nur Verpflegung</t>
  </si>
  <si>
    <t>Baronie Menzheim</t>
  </si>
  <si>
    <t>Tagelöhner, Gesinde, Lehrlinge (billige Arbeitskräfte)</t>
  </si>
  <si>
    <t>Bauern, Handwerksgesellen, Gastwirte, Fischer (einfache Arbeiter)</t>
  </si>
  <si>
    <t>Freibauern, Handwerksmeister, Gelehrte (qualifizierte Arbeiter)</t>
  </si>
  <si>
    <t>Edelhandwerker, Magier, spezialisierte Gelehrte (hochqualifizierte Arbeiter)</t>
  </si>
  <si>
    <t>Kinder</t>
  </si>
  <si>
    <t>Erwachsene</t>
  </si>
  <si>
    <t>Freie Erwachsene</t>
  </si>
  <si>
    <t>Unfreie Erwachsene</t>
  </si>
  <si>
    <t>Zusätzliche Personen im Notfall bei Einberufung einer "Landnot"</t>
  </si>
  <si>
    <t>Baron Ungrimm Eisenfaust</t>
  </si>
  <si>
    <t>Dukaten Einnahmen des Lehnherrn</t>
  </si>
  <si>
    <t>Dukaten Ausgaben des Lehnherrn</t>
  </si>
  <si>
    <t>Zusätzliche persönliche Garde</t>
  </si>
  <si>
    <t>Zusätzliche Söldner</t>
  </si>
  <si>
    <t>Einberufbare Freie im Zuge eines Heerbanns</t>
  </si>
  <si>
    <t>Waffentreue Personen</t>
  </si>
  <si>
    <t>Dukaten Saldo in einem Götterlauf ohne besondere Ereignisse</t>
  </si>
  <si>
    <t>Dukaten zusätzlich temporär verfügbar (solange Kaisertaler nicht eingezogen wird)</t>
  </si>
  <si>
    <t>Verpflegung von eigener Familie und nahen Amtsinhabern</t>
  </si>
  <si>
    <t>Hausmarschallin Tjeika von Griebenstein-Nordhag; Schreiber Ugdalf Biberstein</t>
  </si>
  <si>
    <t>Koch Oldrich, Schmied Ulf</t>
  </si>
  <si>
    <t>Bedienstete Gero und Walbirg Orkenwächter, Stallknecht Firunz, Magd Inke, Waschweiber Traviandre und Manro, Stallknecht Halberich</t>
  </si>
  <si>
    <t xml:space="preserve">Weibelin Dimiona Dergelsfurter und sechs Wachleute (Arn, Waldemar, Gerla, Weidtraut, Rolf, Marne) </t>
  </si>
  <si>
    <t>Mitglieder der Garde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</si>
</sst>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0"/>
      <color rgb="FF000000"/>
      <name val="Arial"/>
    </font>
    <font>
      <sz val="10"/>
      <color rgb="FFB7B7B7"/>
      <name val="Arial"/>
    </font>
    <font>
      <sz val="10"/>
      <color rgb="FFCCCCCC"/>
      <name val="Arial"/>
    </font>
    <font>
      <sz val="10"/>
      <color rgb="FFD9D9D9"/>
      <name val="Arial"/>
    </font>
    <font>
      <sz val="10"/>
      <color rgb="FF666666"/>
      <name val="Arial"/>
    </font>
    <font>
      <sz val="10"/>
      <name val="Arial"/>
    </font>
    <font>
      <i/>
      <sz val="10"/>
      <name val="Arial"/>
    </font>
    <font>
      <sz val="12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sz val="10"/>
      <color rgb="FF666666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4A86E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9" fontId="1" fillId="0" borderId="0" xfId="0" applyNumberFormat="1" applyFont="1" applyAlignment="1"/>
    <xf numFmtId="1" fontId="1" fillId="0" borderId="0" xfId="0" applyNumberFormat="1" applyFont="1"/>
    <xf numFmtId="1" fontId="1" fillId="0" borderId="0" xfId="0" applyNumberFormat="1" applyFont="1" applyAlignment="1"/>
    <xf numFmtId="0" fontId="1" fillId="0" borderId="1" xfId="0" applyFont="1" applyBorder="1" applyAlignment="1"/>
    <xf numFmtId="0" fontId="5" fillId="0" borderId="0" xfId="0" applyFont="1" applyAlignment="1"/>
    <xf numFmtId="0" fontId="5" fillId="0" borderId="0" xfId="0" applyFont="1"/>
    <xf numFmtId="0" fontId="1" fillId="2" borderId="1" xfId="0" applyFont="1" applyFill="1" applyBorder="1"/>
    <xf numFmtId="0" fontId="6" fillId="0" borderId="0" xfId="0" applyFont="1"/>
    <xf numFmtId="0" fontId="1" fillId="3" borderId="1" xfId="0" applyFont="1" applyFill="1" applyBorder="1" applyAlignment="1"/>
    <xf numFmtId="0" fontId="1" fillId="3" borderId="1" xfId="0" applyFont="1" applyFill="1" applyBorder="1"/>
    <xf numFmtId="1" fontId="3" fillId="0" borderId="0" xfId="0" applyNumberFormat="1" applyFont="1"/>
    <xf numFmtId="0" fontId="7" fillId="0" borderId="0" xfId="0" applyFont="1"/>
    <xf numFmtId="0" fontId="1" fillId="3" borderId="0" xfId="0" applyFont="1" applyFill="1" applyAlignment="1"/>
    <xf numFmtId="0" fontId="8" fillId="0" borderId="0" xfId="0" applyFont="1"/>
    <xf numFmtId="0" fontId="8" fillId="0" borderId="0" xfId="0" applyFont="1" applyAlignment="1"/>
    <xf numFmtId="0" fontId="3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" fillId="2" borderId="1" xfId="0" applyFont="1" applyFill="1" applyBorder="1" applyAlignment="1"/>
    <xf numFmtId="1" fontId="2" fillId="0" borderId="0" xfId="0" applyNumberFormat="1" applyFont="1"/>
    <xf numFmtId="0" fontId="11" fillId="0" borderId="0" xfId="0" applyFont="1" applyAlignment="1"/>
    <xf numFmtId="0" fontId="2" fillId="0" borderId="0" xfId="0" applyFont="1"/>
    <xf numFmtId="0" fontId="11" fillId="0" borderId="0" xfId="0" applyFont="1"/>
    <xf numFmtId="1" fontId="0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quotePrefix="1" applyFont="1" applyAlignment="1"/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/>
    <xf numFmtId="1" fontId="12" fillId="0" borderId="0" xfId="0" applyNumberFormat="1" applyFont="1" applyAlignment="1"/>
    <xf numFmtId="0" fontId="1" fillId="4" borderId="3" xfId="0" applyFont="1" applyFill="1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protection locked="0"/>
    </xf>
    <xf numFmtId="9" fontId="1" fillId="4" borderId="3" xfId="1" applyFont="1" applyFill="1" applyBorder="1" applyAlignment="1" applyProtection="1">
      <protection locked="0"/>
    </xf>
    <xf numFmtId="0" fontId="12" fillId="0" borderId="2" xfId="0" applyFont="1" applyFill="1" applyBorder="1" applyAlignment="1"/>
    <xf numFmtId="1" fontId="1" fillId="4" borderId="3" xfId="0" applyNumberFormat="1" applyFont="1" applyFill="1" applyBorder="1" applyAlignment="1" applyProtection="1">
      <protection locked="0"/>
    </xf>
    <xf numFmtId="1" fontId="0" fillId="0" borderId="2" xfId="0" applyNumberFormat="1" applyFont="1" applyBorder="1" applyAlignment="1"/>
    <xf numFmtId="9" fontId="1" fillId="4" borderId="1" xfId="1" applyFont="1" applyFill="1" applyBorder="1" applyAlignment="1" applyProtection="1">
      <protection locked="0"/>
    </xf>
    <xf numFmtId="0" fontId="13" fillId="0" borderId="2" xfId="0" applyFont="1" applyFill="1" applyBorder="1" applyAlignment="1"/>
    <xf numFmtId="0" fontId="0" fillId="5" borderId="0" xfId="0" applyFont="1" applyFill="1" applyAlignment="1"/>
    <xf numFmtId="0" fontId="18" fillId="5" borderId="0" xfId="0" applyFont="1" applyFill="1" applyAlignment="1"/>
    <xf numFmtId="0" fontId="19" fillId="5" borderId="0" xfId="0" applyFont="1" applyFill="1" applyAlignment="1"/>
    <xf numFmtId="0" fontId="12" fillId="5" borderId="0" xfId="0" applyFont="1" applyFill="1" applyAlignment="1"/>
    <xf numFmtId="0" fontId="12" fillId="5" borderId="0" xfId="0" quotePrefix="1" applyFont="1" applyFill="1" applyAlignment="1"/>
    <xf numFmtId="1" fontId="0" fillId="5" borderId="0" xfId="0" applyNumberFormat="1" applyFont="1" applyFill="1" applyAlignment="1"/>
    <xf numFmtId="1" fontId="19" fillId="5" borderId="0" xfId="0" applyNumberFormat="1" applyFont="1" applyFill="1" applyAlignment="1"/>
    <xf numFmtId="1" fontId="12" fillId="5" borderId="0" xfId="0" applyNumberFormat="1" applyFont="1" applyFill="1" applyAlignment="1"/>
    <xf numFmtId="0" fontId="0" fillId="5" borderId="0" xfId="0" applyFont="1" applyFill="1" applyAlignment="1" applyProtection="1">
      <protection locked="0"/>
    </xf>
  </cellXfs>
  <cellStyles count="2">
    <cellStyle name="Prozent" xfId="1" builtinId="5"/>
    <cellStyle name="Standard" xfId="0" builtinId="0"/>
  </cellStyles>
  <dxfs count="4"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200026</xdr:colOff>
      <xdr:row>7</xdr:row>
      <xdr:rowOff>113923</xdr:rowOff>
    </xdr:from>
    <xdr:to>
      <xdr:col>13</xdr:col>
      <xdr:colOff>248527</xdr:colOff>
      <xdr:row>13</xdr:row>
      <xdr:rowOff>85725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1342648"/>
          <a:ext cx="3467976" cy="103860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</xdr:row>
      <xdr:rowOff>76200</xdr:rowOff>
    </xdr:from>
    <xdr:to>
      <xdr:col>5</xdr:col>
      <xdr:colOff>171085</xdr:colOff>
      <xdr:row>27</xdr:row>
      <xdr:rowOff>66260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1304925"/>
          <a:ext cx="2923810" cy="3323810"/>
        </a:xfrm>
        <a:prstGeom prst="rect">
          <a:avLst/>
        </a:prstGeom>
      </xdr:spPr>
    </xdr:pic>
    <xdr:clientData/>
  </xdr:twoCellAnchor>
  <xdr:twoCellAnchor editAs="oneCell">
    <xdr:from>
      <xdr:col>10</xdr:col>
      <xdr:colOff>39566</xdr:colOff>
      <xdr:row>20</xdr:row>
      <xdr:rowOff>64476</xdr:rowOff>
    </xdr:from>
    <xdr:to>
      <xdr:col>13</xdr:col>
      <xdr:colOff>160158</xdr:colOff>
      <xdr:row>27</xdr:row>
      <xdr:rowOff>64476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241" y="3493476"/>
          <a:ext cx="1130242" cy="1133475"/>
        </a:xfrm>
        <a:prstGeom prst="rect">
          <a:avLst/>
        </a:prstGeom>
      </xdr:spPr>
    </xdr:pic>
    <xdr:clientData/>
  </xdr:twoCellAnchor>
  <xdr:twoCellAnchor editAs="oneCell">
    <xdr:from>
      <xdr:col>9</xdr:col>
      <xdr:colOff>289630</xdr:colOff>
      <xdr:row>17</xdr:row>
      <xdr:rowOff>93310</xdr:rowOff>
    </xdr:from>
    <xdr:to>
      <xdr:col>11</xdr:col>
      <xdr:colOff>417051</xdr:colOff>
      <xdr:row>25</xdr:row>
      <xdr:rowOff>62706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305" y="3036535"/>
          <a:ext cx="1260896" cy="1264796"/>
        </a:xfrm>
        <a:prstGeom prst="rect">
          <a:avLst/>
        </a:prstGeom>
      </xdr:spPr>
    </xdr:pic>
    <xdr:clientData/>
  </xdr:twoCellAnchor>
  <xdr:twoCellAnchor editAs="oneCell">
    <xdr:from>
      <xdr:col>6</xdr:col>
      <xdr:colOff>64275</xdr:colOff>
      <xdr:row>29</xdr:row>
      <xdr:rowOff>83325</xdr:rowOff>
    </xdr:from>
    <xdr:to>
      <xdr:col>8</xdr:col>
      <xdr:colOff>638175</xdr:colOff>
      <xdr:row>38</xdr:row>
      <xdr:rowOff>85725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125" y="4807725"/>
          <a:ext cx="1459725" cy="1459725"/>
        </a:xfrm>
        <a:prstGeom prst="rect">
          <a:avLst/>
        </a:prstGeom>
      </xdr:spPr>
    </xdr:pic>
    <xdr:clientData/>
  </xdr:twoCellAnchor>
  <xdr:twoCellAnchor editAs="oneCell">
    <xdr:from>
      <xdr:col>9</xdr:col>
      <xdr:colOff>723899</xdr:colOff>
      <xdr:row>31</xdr:row>
      <xdr:rowOff>99975</xdr:rowOff>
    </xdr:from>
    <xdr:to>
      <xdr:col>13</xdr:col>
      <xdr:colOff>57150</xdr:colOff>
      <xdr:row>38</xdr:row>
      <xdr:rowOff>71401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4" y="5148225"/>
          <a:ext cx="1104901" cy="1104901"/>
        </a:xfrm>
        <a:prstGeom prst="rect">
          <a:avLst/>
        </a:prstGeom>
      </xdr:spPr>
    </xdr:pic>
    <xdr:clientData/>
  </xdr:twoCellAnchor>
  <xdr:twoCellAnchor editAs="oneCell">
    <xdr:from>
      <xdr:col>8</xdr:col>
      <xdr:colOff>548581</xdr:colOff>
      <xdr:row>32</xdr:row>
      <xdr:rowOff>97576</xdr:rowOff>
    </xdr:from>
    <xdr:to>
      <xdr:col>9</xdr:col>
      <xdr:colOff>468741</xdr:colOff>
      <xdr:row>38</xdr:row>
      <xdr:rowOff>28576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256" y="5307751"/>
          <a:ext cx="682160" cy="902550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695324</xdr:colOff>
      <xdr:row>29</xdr:row>
      <xdr:rowOff>38100</xdr:rowOff>
    </xdr:from>
    <xdr:to>
      <xdr:col>9</xdr:col>
      <xdr:colOff>541401</xdr:colOff>
      <xdr:row>32</xdr:row>
      <xdr:rowOff>160402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4762500"/>
          <a:ext cx="608077" cy="608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3:Q67"/>
  <sheetViews>
    <sheetView tabSelected="1" zoomScaleNormal="100" workbookViewId="0">
      <selection activeCell="I67" sqref="I67"/>
    </sheetView>
  </sheetViews>
  <sheetFormatPr baseColWidth="10" defaultRowHeight="12.75" x14ac:dyDescent="0.2"/>
  <cols>
    <col min="1" max="2" width="11.42578125" style="52"/>
    <col min="3" max="3" width="5.140625" style="52" customWidth="1"/>
    <col min="4" max="4" width="5.42578125" style="52" customWidth="1"/>
    <col min="5" max="6" width="11.42578125" style="52"/>
    <col min="7" max="7" width="6.7109375" style="52" customWidth="1"/>
    <col min="8" max="8" width="6.5703125" style="52" customWidth="1"/>
    <col min="9" max="10" width="11.42578125" style="52"/>
    <col min="11" max="11" width="5.5703125" style="52" customWidth="1"/>
    <col min="12" max="12" width="6.5703125" style="52" customWidth="1"/>
    <col min="13" max="13" width="3" style="52" customWidth="1"/>
    <col min="14" max="16384" width="11.42578125" style="52"/>
  </cols>
  <sheetData>
    <row r="3" spans="2:17" ht="20.25" x14ac:dyDescent="0.3">
      <c r="B3" s="53" t="s">
        <v>215</v>
      </c>
    </row>
    <row r="6" spans="2:17" x14ac:dyDescent="0.2">
      <c r="B6" s="55" t="s">
        <v>225</v>
      </c>
      <c r="N6" s="54">
        <f>Baronierechner!B22</f>
        <v>616</v>
      </c>
      <c r="O6" s="54" t="str">
        <f>Baronierechner!A22</f>
        <v>Direkt unterstellte Untertanen</v>
      </c>
    </row>
    <row r="8" spans="2:17" ht="14.25" customHeight="1" x14ac:dyDescent="0.2">
      <c r="O8" s="57">
        <f>Baronierechner!C22</f>
        <v>184.79999999999998</v>
      </c>
      <c r="P8" s="56" t="s">
        <v>220</v>
      </c>
    </row>
    <row r="9" spans="2:17" ht="14.25" customHeight="1" x14ac:dyDescent="0.2">
      <c r="O9" s="57">
        <f>Baronierechner!B22-Baronierechner!C22</f>
        <v>431.20000000000005</v>
      </c>
      <c r="P9" s="56" t="s">
        <v>221</v>
      </c>
    </row>
    <row r="10" spans="2:17" ht="14.25" customHeight="1" x14ac:dyDescent="0.2"/>
    <row r="11" spans="2:17" ht="14.25" customHeight="1" x14ac:dyDescent="0.2">
      <c r="P11" s="57">
        <f>Baronierechner!B23</f>
        <v>86.240000000000009</v>
      </c>
      <c r="Q11" s="56" t="s">
        <v>216</v>
      </c>
    </row>
    <row r="12" spans="2:17" ht="14.25" customHeight="1" x14ac:dyDescent="0.2">
      <c r="P12" s="57">
        <f>Baronierechner!B24</f>
        <v>323.40000000000003</v>
      </c>
      <c r="Q12" s="56" t="s">
        <v>217</v>
      </c>
    </row>
    <row r="13" spans="2:17" x14ac:dyDescent="0.2">
      <c r="P13" s="57">
        <f>Baronierechner!B25</f>
        <v>17.248000000000001</v>
      </c>
      <c r="Q13" s="56" t="s">
        <v>218</v>
      </c>
    </row>
    <row r="14" spans="2:17" x14ac:dyDescent="0.2">
      <c r="P14" s="57">
        <f>Baronierechner!B26</f>
        <v>4.3120000000000003</v>
      </c>
      <c r="Q14" s="56" t="s">
        <v>219</v>
      </c>
    </row>
    <row r="16" spans="2:17" x14ac:dyDescent="0.2">
      <c r="P16" s="57">
        <f>Baronierechner!F25</f>
        <v>61.985000000000007</v>
      </c>
      <c r="Q16" s="55" t="s">
        <v>222</v>
      </c>
    </row>
    <row r="17" spans="14:17" x14ac:dyDescent="0.2">
      <c r="P17" s="57">
        <f>O9-P16</f>
        <v>369.21500000000003</v>
      </c>
      <c r="Q17" s="55" t="s">
        <v>223</v>
      </c>
    </row>
    <row r="18" spans="14:17" x14ac:dyDescent="0.2">
      <c r="P18" s="57"/>
      <c r="Q18" s="55"/>
    </row>
    <row r="20" spans="14:17" x14ac:dyDescent="0.2">
      <c r="N20" s="58">
        <f>SUM(N22:N24)</f>
        <v>56.588000000000008</v>
      </c>
      <c r="O20" s="54" t="s">
        <v>231</v>
      </c>
    </row>
    <row r="22" spans="14:17" x14ac:dyDescent="0.2">
      <c r="N22" s="59">
        <f>Baronierechner!F27</f>
        <v>49.588000000000008</v>
      </c>
      <c r="O22" s="55" t="s">
        <v>230</v>
      </c>
    </row>
    <row r="23" spans="14:17" x14ac:dyDescent="0.2">
      <c r="N23" s="52">
        <f>SUM(Baronierechner!C83:H83)</f>
        <v>7</v>
      </c>
      <c r="O23" s="55" t="s">
        <v>228</v>
      </c>
    </row>
    <row r="24" spans="14:17" x14ac:dyDescent="0.2">
      <c r="N24" s="52">
        <f>SUM(Baronierechner!C87:I88)*50</f>
        <v>0</v>
      </c>
      <c r="O24" s="55" t="s">
        <v>229</v>
      </c>
    </row>
    <row r="26" spans="14:17" x14ac:dyDescent="0.2">
      <c r="N26" s="57">
        <f>Baronierechner!B24+Baronierechner!B23-Baronierechner!F24</f>
        <v>369.21500000000003</v>
      </c>
      <c r="O26" s="55" t="s">
        <v>224</v>
      </c>
    </row>
    <row r="31" spans="14:17" x14ac:dyDescent="0.2">
      <c r="N31" s="58">
        <f>Baronierechner!C100</f>
        <v>573.68265279999969</v>
      </c>
      <c r="O31" s="54" t="s">
        <v>232</v>
      </c>
    </row>
    <row r="33" spans="14:15" x14ac:dyDescent="0.2">
      <c r="N33" s="57">
        <f>Baronierechner!B30</f>
        <v>4495.6910399999997</v>
      </c>
      <c r="O33" s="55" t="s">
        <v>226</v>
      </c>
    </row>
    <row r="34" spans="14:15" x14ac:dyDescent="0.2">
      <c r="N34" s="57">
        <f>Baronierechner!B41</f>
        <v>3922.0083872</v>
      </c>
      <c r="O34" s="55" t="s">
        <v>227</v>
      </c>
    </row>
    <row r="36" spans="14:15" x14ac:dyDescent="0.2">
      <c r="N36" s="57">
        <f>Baronierechner!B43</f>
        <v>862.4</v>
      </c>
      <c r="O36" s="55" t="s">
        <v>233</v>
      </c>
    </row>
    <row r="67" spans="9:9" x14ac:dyDescent="0.2">
      <c r="I67" s="60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5"/>
  <sheetViews>
    <sheetView zoomScale="85" zoomScaleNormal="85" workbookViewId="0">
      <selection activeCell="B3" sqref="B3"/>
    </sheetView>
  </sheetViews>
  <sheetFormatPr baseColWidth="10" defaultColWidth="14.42578125" defaultRowHeight="15.75" customHeight="1" x14ac:dyDescent="0.2"/>
  <cols>
    <col min="1" max="1" width="53.7109375" bestFit="1" customWidth="1"/>
    <col min="2" max="10" width="20.85546875" customWidth="1"/>
  </cols>
  <sheetData>
    <row r="1" spans="1:4" x14ac:dyDescent="0.25">
      <c r="A1" s="37" t="s">
        <v>191</v>
      </c>
    </row>
    <row r="3" spans="1:4" ht="15" customHeight="1" x14ac:dyDescent="0.2">
      <c r="A3" s="3" t="s">
        <v>10</v>
      </c>
      <c r="B3" s="43" t="s">
        <v>17</v>
      </c>
      <c r="C3" t="str">
        <f>IF(B3=Grundregeln!C3,Grundregeln!A68,IF(B3=Grundregeln!D3,Grundregeln!B68,IF(B3=Grundregeln!E3,Grundregeln!C68,IF(B3=Grundregeln!F3,Grundregeln!D68,IF(B3=Grundregeln!G3,Grundregeln!E68,"")))))</f>
        <v>Ein gewisses Maß an Zivilisation ist erreicht,es gibt auch einzelne Städte, doch gemeinhin wird man als ,hinterwäldlerisch' belächelt. Beispiele: Baronien in Weiden und Greifenfurt, Nostria und Andergast, nördliche Siedlerstädte</v>
      </c>
    </row>
    <row r="4" spans="1:4" ht="15" customHeight="1" x14ac:dyDescent="0.2"/>
    <row r="5" spans="1:4" ht="15" customHeight="1" x14ac:dyDescent="0.2">
      <c r="A5" s="3" t="s">
        <v>30</v>
      </c>
      <c r="B5" s="43" t="s">
        <v>135</v>
      </c>
      <c r="C5" t="str">
        <f>IF(B5=Grundregeln!A70,Grundregeln!A69,IF(B5=Grundregeln!B70,Grundregeln!B69,IF(B5=Grundregeln!C70,Grundregeln!C69,IF(B5=Grundregeln!D70,Grundregeln!D69,IF(B5=Grundregeln!E70,Grundregeln!E69,"")))))</f>
        <v>Weidener Land, Koschgebirge, thorwalsche Fjorde</v>
      </c>
    </row>
    <row r="6" spans="1:4" ht="15" customHeight="1" x14ac:dyDescent="0.2">
      <c r="B6" s="12" t="s">
        <v>49</v>
      </c>
      <c r="C6" s="13"/>
      <c r="D6" s="13">
        <f>IF(B5=Grundregeln!A70,Grundregeln!B12,IF(B5=Grundregeln!B70,Grundregeln!B13,IF(B5=Grundregeln!C70,Grundregeln!B14,IF(B5=Grundregeln!D70,Grundregeln!B15,IF(B5=Grundregeln!E70,Grundregeln!B16,0)))))</f>
        <v>0.5</v>
      </c>
    </row>
    <row r="7" spans="1:4" ht="15" customHeight="1" x14ac:dyDescent="0.2">
      <c r="A7" s="3" t="s">
        <v>44</v>
      </c>
      <c r="B7" s="13"/>
      <c r="C7" s="13"/>
      <c r="D7" s="13"/>
    </row>
    <row r="8" spans="1:4" ht="15" customHeight="1" x14ac:dyDescent="0.2">
      <c r="A8" s="1" t="s">
        <v>77</v>
      </c>
      <c r="B8" s="43" t="s">
        <v>80</v>
      </c>
      <c r="D8" s="15">
        <f>IF(B8="ja",Grundregeln!B19,0)</f>
        <v>0</v>
      </c>
    </row>
    <row r="9" spans="1:4" ht="15" customHeight="1" x14ac:dyDescent="0.2">
      <c r="A9" s="1" t="s">
        <v>85</v>
      </c>
      <c r="B9" s="43" t="s">
        <v>138</v>
      </c>
      <c r="C9" s="32" t="s">
        <v>180</v>
      </c>
      <c r="D9" s="15">
        <f>IF(B9="ja",Grundregeln!B20,0)</f>
        <v>0.1</v>
      </c>
    </row>
    <row r="10" spans="1:4" ht="15" customHeight="1" x14ac:dyDescent="0.2">
      <c r="A10" s="1" t="s">
        <v>86</v>
      </c>
      <c r="B10" s="43" t="s">
        <v>80</v>
      </c>
      <c r="D10" s="15">
        <f>IF(B10="ja",Grundregeln!B21,0)</f>
        <v>0</v>
      </c>
    </row>
    <row r="11" spans="1:4" ht="15" customHeight="1" x14ac:dyDescent="0.2">
      <c r="A11" s="1" t="s">
        <v>91</v>
      </c>
      <c r="B11" s="43" t="s">
        <v>80</v>
      </c>
      <c r="D11" s="15">
        <f>IF(B11="ja",Grundregeln!B22,0)</f>
        <v>0</v>
      </c>
    </row>
    <row r="12" spans="1:4" ht="15" customHeight="1" x14ac:dyDescent="0.2">
      <c r="A12" s="1" t="s">
        <v>93</v>
      </c>
      <c r="B12" s="43" t="s">
        <v>80</v>
      </c>
      <c r="D12" s="15">
        <f>IF(B12="ja",Grundregeln!B23,0)</f>
        <v>0</v>
      </c>
    </row>
    <row r="13" spans="1:4" ht="15" customHeight="1" x14ac:dyDescent="0.2">
      <c r="A13" s="1" t="s">
        <v>95</v>
      </c>
      <c r="B13" s="43" t="s">
        <v>138</v>
      </c>
      <c r="C13" s="33" t="s">
        <v>181</v>
      </c>
      <c r="D13" s="15">
        <f>IF(B13="ja",Grundregeln!B24,0)</f>
        <v>0.2</v>
      </c>
    </row>
    <row r="14" spans="1:4" ht="15" customHeight="1" x14ac:dyDescent="0.2">
      <c r="A14" s="1" t="s">
        <v>97</v>
      </c>
      <c r="B14" s="43" t="s">
        <v>80</v>
      </c>
      <c r="D14" s="15">
        <f>IF(B14="ja",Grundregeln!B25,0)</f>
        <v>0</v>
      </c>
    </row>
    <row r="15" spans="1:4" ht="15" customHeight="1" x14ac:dyDescent="0.2">
      <c r="A15" s="1" t="s">
        <v>99</v>
      </c>
      <c r="B15" s="43" t="s">
        <v>80</v>
      </c>
      <c r="D15" s="15">
        <f>IF(B15="ja",Grundregeln!B26,0)</f>
        <v>0</v>
      </c>
    </row>
    <row r="16" spans="1:4" ht="15" customHeight="1" x14ac:dyDescent="0.2">
      <c r="B16" s="12" t="s">
        <v>100</v>
      </c>
      <c r="C16" s="19"/>
      <c r="D16" s="19">
        <f>D6+D8+D9+D10+D11+D12+D13+D14+D15</f>
        <v>0.8</v>
      </c>
    </row>
    <row r="17" spans="1:7" ht="15" customHeight="1" x14ac:dyDescent="0.2"/>
    <row r="18" spans="1:7" ht="15" customHeight="1" x14ac:dyDescent="0.2">
      <c r="A18" s="3" t="s">
        <v>101</v>
      </c>
      <c r="B18" s="43">
        <v>1523</v>
      </c>
      <c r="C18" s="21">
        <f>IF(B3="Urban",7000,IF(B3="Durchschnitt",3500,IF(B3="Ländlich",1500,IF(B3="Pionierland",500,150))))</f>
        <v>1500</v>
      </c>
      <c r="D18" s="22" t="s">
        <v>108</v>
      </c>
    </row>
    <row r="19" spans="1:7" ht="15" customHeight="1" x14ac:dyDescent="0.2">
      <c r="A19" s="34" t="s">
        <v>192</v>
      </c>
      <c r="B19" s="43">
        <v>907</v>
      </c>
      <c r="C19" s="49">
        <f t="shared" ref="C19:C20" si="0">B19*0.3</f>
        <v>272.09999999999997</v>
      </c>
      <c r="D19" s="7" t="s">
        <v>109</v>
      </c>
      <c r="F19" s="32"/>
    </row>
    <row r="20" spans="1:7" ht="15" customHeight="1" x14ac:dyDescent="0.2">
      <c r="A20" s="1" t="s">
        <v>110</v>
      </c>
      <c r="B20" s="43">
        <v>0</v>
      </c>
      <c r="C20" s="43">
        <f t="shared" si="0"/>
        <v>0</v>
      </c>
      <c r="D20" s="7" t="s">
        <v>109</v>
      </c>
    </row>
    <row r="21" spans="1:7" ht="15" customHeight="1" x14ac:dyDescent="0.2">
      <c r="D21" s="21"/>
    </row>
    <row r="22" spans="1:7" ht="15" customHeight="1" x14ac:dyDescent="0.2">
      <c r="A22" s="3" t="s">
        <v>111</v>
      </c>
      <c r="B22" s="23">
        <f>B18-B19-B20</f>
        <v>616</v>
      </c>
      <c r="C22" s="31">
        <f>B22*0.3</f>
        <v>184.79999999999998</v>
      </c>
      <c r="D22" s="7" t="s">
        <v>109</v>
      </c>
    </row>
    <row r="23" spans="1:7" ht="15" customHeight="1" x14ac:dyDescent="0.2">
      <c r="A23" s="1" t="s">
        <v>120</v>
      </c>
      <c r="B23" s="9">
        <f>IF($B$3=Grundregeln!$C$3,Grundregeln!C5,IF($B$3=Grundregeln!$D$3,Grundregeln!D5,IF($B$3=Grundregeln!$E$3,Grundregeln!E5,IF($B$3=Grundregeln!$F$3,Grundregeln!F5,IF($B$3=Grundregeln!$G$3,Grundregeln!G5,0)))))*($B$22-$C$22)</f>
        <v>86.240000000000009</v>
      </c>
      <c r="C23" s="19">
        <f>Grundregeln!H5*B23*12*D16</f>
        <v>1241.8560000000002</v>
      </c>
      <c r="D23" s="22" t="s">
        <v>122</v>
      </c>
    </row>
    <row r="24" spans="1:7" ht="15" customHeight="1" x14ac:dyDescent="0.2">
      <c r="A24" s="1" t="s">
        <v>123</v>
      </c>
      <c r="B24" s="9">
        <f>IF($B$3=Grundregeln!$C$3,Grundregeln!C6,IF($B$3=Grundregeln!$D$3,Grundregeln!D6,IF($B$3=Grundregeln!$E$3,Grundregeln!E6,IF($B$3=Grundregeln!$F$3,Grundregeln!F6,IF($B$3=Grundregeln!$G$3,Grundregeln!G6,0)))))*($B$22-$C$22)</f>
        <v>323.40000000000003</v>
      </c>
      <c r="C24" s="19">
        <f>Grundregeln!H6*B24*12*D16</f>
        <v>24837.120000000003</v>
      </c>
      <c r="D24" s="38" t="s">
        <v>186</v>
      </c>
      <c r="F24" s="31">
        <f>B24/8</f>
        <v>40.425000000000004</v>
      </c>
      <c r="G24" s="32" t="s">
        <v>198</v>
      </c>
    </row>
    <row r="25" spans="1:7" ht="15" customHeight="1" x14ac:dyDescent="0.2">
      <c r="A25" s="1" t="s">
        <v>133</v>
      </c>
      <c r="B25" s="9">
        <f>IF($B$3=Grundregeln!$C$3,Grundregeln!C7,IF($B$3=Grundregeln!$D$3,Grundregeln!D7,IF($B$3=Grundregeln!$E$3,Grundregeln!E7,IF($B$3=Grundregeln!$F$3,Grundregeln!F7,IF($B$3=Grundregeln!$G$3,Grundregeln!G7,0)))))*($B$22-$C$22)</f>
        <v>17.248000000000001</v>
      </c>
      <c r="C25" s="19">
        <f>Grundregeln!H7*B25*12*D16</f>
        <v>3311.6160000000004</v>
      </c>
      <c r="D25" s="38" t="s">
        <v>195</v>
      </c>
      <c r="F25" s="31">
        <f>B25+B26+F24</f>
        <v>61.985000000000007</v>
      </c>
      <c r="G25" s="42" t="s">
        <v>196</v>
      </c>
    </row>
    <row r="26" spans="1:7" ht="15" customHeight="1" x14ac:dyDescent="0.2">
      <c r="A26" s="1" t="s">
        <v>139</v>
      </c>
      <c r="B26" s="9">
        <f>IF($B$3=Grundregeln!$C$3,Grundregeln!C8,IF($B$3=Grundregeln!$D$3,Grundregeln!D8,IF($B$3=Grundregeln!$E$3,Grundregeln!E8,IF($B$3=Grundregeln!$F$3,Grundregeln!F8,IF($B$3=Grundregeln!$G$3,Grundregeln!G8,0)))))*($B$22-$C$22)</f>
        <v>4.3120000000000003</v>
      </c>
      <c r="C26" s="19">
        <f>Grundregeln!H8*B26*12*D16</f>
        <v>3725.5680000000011</v>
      </c>
      <c r="D26" s="22" t="s">
        <v>140</v>
      </c>
      <c r="F26" s="46">
        <v>0.2</v>
      </c>
      <c r="G26" s="32" t="s">
        <v>197</v>
      </c>
    </row>
    <row r="27" spans="1:7" ht="15" customHeight="1" x14ac:dyDescent="0.2">
      <c r="F27" s="31">
        <f>F25*(1-F26)</f>
        <v>49.588000000000008</v>
      </c>
      <c r="G27" s="47" t="s">
        <v>200</v>
      </c>
    </row>
    <row r="28" spans="1:7" ht="15" customHeight="1" x14ac:dyDescent="0.2">
      <c r="A28" s="3" t="s">
        <v>141</v>
      </c>
      <c r="B28" s="31">
        <f>SUM(C23:C26)</f>
        <v>33116.160000000003</v>
      </c>
      <c r="C28" s="1" t="s">
        <v>142</v>
      </c>
    </row>
    <row r="29" spans="1:7" ht="15" customHeight="1" x14ac:dyDescent="0.2"/>
    <row r="30" spans="1:7" ht="15" customHeight="1" x14ac:dyDescent="0.2">
      <c r="A30" s="3" t="s">
        <v>143</v>
      </c>
      <c r="B30" s="18">
        <f>SUM(B32:B39)</f>
        <v>4495.6910399999997</v>
      </c>
      <c r="C30" s="1" t="s">
        <v>144</v>
      </c>
    </row>
    <row r="31" spans="1:7" ht="15" customHeight="1" x14ac:dyDescent="0.2">
      <c r="A31" s="1" t="s">
        <v>145</v>
      </c>
      <c r="B31" s="46">
        <v>0.1</v>
      </c>
      <c r="C31" s="40" t="s">
        <v>193</v>
      </c>
      <c r="G31" s="3"/>
    </row>
    <row r="32" spans="1:7" ht="15" customHeight="1" x14ac:dyDescent="0.2">
      <c r="A32" s="1" t="s">
        <v>146</v>
      </c>
      <c r="B32" s="31">
        <f>B31*B28</f>
        <v>3311.6160000000004</v>
      </c>
      <c r="C32" s="33" t="s">
        <v>194</v>
      </c>
      <c r="G32" s="1"/>
    </row>
    <row r="33" spans="1:7" ht="15" customHeight="1" x14ac:dyDescent="0.2">
      <c r="A33" s="1" t="s">
        <v>147</v>
      </c>
      <c r="B33" s="9">
        <f>B28/B22*B20*0.09</f>
        <v>0</v>
      </c>
      <c r="C33" s="1" t="s">
        <v>148</v>
      </c>
      <c r="G33" s="25"/>
    </row>
    <row r="34" spans="1:7" ht="15" customHeight="1" x14ac:dyDescent="0.2">
      <c r="A34" s="1" t="s">
        <v>149</v>
      </c>
      <c r="B34" s="31">
        <f>F25*20*F26</f>
        <v>247.94000000000003</v>
      </c>
      <c r="C34" s="41" t="s">
        <v>201</v>
      </c>
      <c r="G34" s="1"/>
    </row>
    <row r="35" spans="1:7" ht="15" customHeight="1" x14ac:dyDescent="0.2">
      <c r="A35" s="1" t="s">
        <v>64</v>
      </c>
      <c r="B35" s="10">
        <f>24*(B22-C22)/100</f>
        <v>103.48800000000001</v>
      </c>
      <c r="C35" s="1" t="s">
        <v>150</v>
      </c>
    </row>
    <row r="36" spans="1:7" ht="15" customHeight="1" x14ac:dyDescent="0.2">
      <c r="A36" s="1" t="s">
        <v>65</v>
      </c>
      <c r="B36" s="10">
        <f>36*B22/100</f>
        <v>221.76</v>
      </c>
      <c r="C36" s="1" t="s">
        <v>151</v>
      </c>
      <c r="G36" s="1"/>
    </row>
    <row r="37" spans="1:7" ht="15" customHeight="1" x14ac:dyDescent="0.2">
      <c r="A37" s="1" t="s">
        <v>66</v>
      </c>
      <c r="B37" s="9">
        <f>IF($B$3=Grundregeln!$C$3,Grundregeln!C33,IF($B$3=Grundregeln!$D$3,Grundregeln!D33,IF($B$3=Grundregeln!$E$3,Grundregeln!E33,IF($B$3=Grundregeln!$F$3,Grundregeln!F33,IF($B$3=Grundregeln!$G$3,Grundregeln!G33,0)))))*12*(B22-C22)/100</f>
        <v>155.232</v>
      </c>
      <c r="C37" s="1" t="s">
        <v>152</v>
      </c>
      <c r="G37" s="1"/>
    </row>
    <row r="38" spans="1:7" ht="15" customHeight="1" x14ac:dyDescent="0.2">
      <c r="A38" s="1" t="s">
        <v>67</v>
      </c>
      <c r="B38" s="9">
        <f>IF($B$3=Grundregeln!$C$3,Grundregeln!C34,IF($B$3=Grundregeln!$D$3,Grundregeln!D34,IF($B$3=Grundregeln!$E$3,Grundregeln!E34,IF($B$3=Grundregeln!$F$3,Grundregeln!F34,IF($B$3=Grundregeln!$G$3,Grundregeln!G34,0)))))*12*((B24+B25+B26)/100)*(1+SUM(D8:D15))</f>
        <v>215.25504000000001</v>
      </c>
      <c r="C38" s="33" t="s">
        <v>202</v>
      </c>
      <c r="G38" s="1"/>
    </row>
    <row r="39" spans="1:7" ht="15" customHeight="1" x14ac:dyDescent="0.2">
      <c r="A39" s="1" t="s">
        <v>153</v>
      </c>
      <c r="B39" s="48">
        <f>'Eigene Domäne'!B27</f>
        <v>240.40000000000009</v>
      </c>
      <c r="C39" s="33" t="s">
        <v>199</v>
      </c>
      <c r="G39" s="1"/>
    </row>
    <row r="40" spans="1:7" ht="15" customHeight="1" x14ac:dyDescent="0.2">
      <c r="G40" s="1"/>
    </row>
    <row r="41" spans="1:7" ht="15" customHeight="1" x14ac:dyDescent="0.2">
      <c r="A41" s="3" t="s">
        <v>154</v>
      </c>
      <c r="B41" s="18">
        <f>SUM(B43:B53)</f>
        <v>3922.0083872</v>
      </c>
      <c r="C41" s="1" t="s">
        <v>144</v>
      </c>
    </row>
    <row r="42" spans="1:7" ht="15" customHeight="1" x14ac:dyDescent="0.2">
      <c r="A42" s="1" t="s">
        <v>155</v>
      </c>
      <c r="B42" s="43">
        <v>1.4</v>
      </c>
      <c r="C42" s="1" t="s">
        <v>156</v>
      </c>
    </row>
    <row r="43" spans="1:7" ht="15" customHeight="1" x14ac:dyDescent="0.2">
      <c r="A43" s="1" t="s">
        <v>157</v>
      </c>
      <c r="B43" s="31">
        <f>B42*(B22+B20)</f>
        <v>862.4</v>
      </c>
      <c r="C43" s="1" t="s">
        <v>158</v>
      </c>
    </row>
    <row r="44" spans="1:7" ht="15" customHeight="1" x14ac:dyDescent="0.2">
      <c r="A44" s="1" t="s">
        <v>74</v>
      </c>
      <c r="B44" s="9">
        <f>10%*B30</f>
        <v>449.56910399999998</v>
      </c>
      <c r="C44" s="1" t="s">
        <v>159</v>
      </c>
    </row>
    <row r="45" spans="1:7" ht="15" customHeight="1" x14ac:dyDescent="0.2">
      <c r="A45" s="1" t="s">
        <v>78</v>
      </c>
      <c r="B45" s="9">
        <f>8%*B30</f>
        <v>359.65528319999999</v>
      </c>
      <c r="C45" s="33" t="s">
        <v>160</v>
      </c>
    </row>
    <row r="46" spans="1:7" ht="15" customHeight="1" x14ac:dyDescent="0.2">
      <c r="A46" s="1" t="s">
        <v>161</v>
      </c>
      <c r="B46" s="31">
        <f>IF($B$3=Grundregeln!$C$3,Grundregeln!C41,IF($B$3=Grundregeln!$D$3,Grundregeln!D41,IF($B$3=Grundregeln!$E$3,Grundregeln!E41,IF($B$3=Grundregeln!$F$3,Grundregeln!F41,IF($B$3=Grundregeln!$G$3,Grundregeln!G41,0)))))*12*(1+SUM(D8:D15))*B22/1000</f>
        <v>384.38400000000001</v>
      </c>
      <c r="C46" s="1" t="s">
        <v>162</v>
      </c>
    </row>
    <row r="47" spans="1:7" ht="15" customHeight="1" x14ac:dyDescent="0.2">
      <c r="A47" s="1" t="s">
        <v>163</v>
      </c>
      <c r="B47" s="9">
        <f>+B60+B58</f>
        <v>270</v>
      </c>
      <c r="C47" s="1" t="s">
        <v>164</v>
      </c>
    </row>
    <row r="48" spans="1:7" ht="15" customHeight="1" x14ac:dyDescent="0.2">
      <c r="A48" s="33" t="s">
        <v>213</v>
      </c>
      <c r="B48" s="9">
        <f>B95</f>
        <v>168</v>
      </c>
      <c r="C48" s="33" t="s">
        <v>234</v>
      </c>
    </row>
    <row r="49" spans="1:8" ht="15" customHeight="1" x14ac:dyDescent="0.2">
      <c r="A49" s="1" t="s">
        <v>165</v>
      </c>
      <c r="B49" s="9">
        <f>SUM(B64:B66)</f>
        <v>480</v>
      </c>
      <c r="C49" s="33" t="s">
        <v>235</v>
      </c>
    </row>
    <row r="50" spans="1:8" ht="15" customHeight="1" x14ac:dyDescent="0.2">
      <c r="A50" s="1" t="s">
        <v>166</v>
      </c>
      <c r="B50" s="9">
        <f>SUM(B70:B72)</f>
        <v>480</v>
      </c>
      <c r="C50" s="33" t="s">
        <v>236</v>
      </c>
    </row>
    <row r="51" spans="1:8" ht="15" customHeight="1" x14ac:dyDescent="0.2">
      <c r="A51" s="1" t="s">
        <v>167</v>
      </c>
      <c r="B51" s="9">
        <f>SUM(B76:B79)</f>
        <v>72</v>
      </c>
      <c r="C51" s="33" t="s">
        <v>237</v>
      </c>
    </row>
    <row r="52" spans="1:8" ht="15" customHeight="1" x14ac:dyDescent="0.2">
      <c r="A52" s="1" t="s">
        <v>168</v>
      </c>
      <c r="B52">
        <f>B83</f>
        <v>396</v>
      </c>
      <c r="C52" s="33" t="s">
        <v>238</v>
      </c>
    </row>
    <row r="53" spans="1:8" ht="15" customHeight="1" x14ac:dyDescent="0.2">
      <c r="A53" s="1" t="s">
        <v>169</v>
      </c>
      <c r="B53">
        <f>SUM(B87:B88)</f>
        <v>0</v>
      </c>
    </row>
    <row r="54" spans="1:8" ht="15" customHeight="1" x14ac:dyDescent="0.2"/>
    <row r="55" spans="1:8" ht="15" customHeight="1" x14ac:dyDescent="0.2">
      <c r="A55" s="3" t="s">
        <v>170</v>
      </c>
    </row>
    <row r="56" spans="1:8" ht="15" customHeight="1" x14ac:dyDescent="0.2">
      <c r="A56" s="1" t="s">
        <v>171</v>
      </c>
    </row>
    <row r="57" spans="1:8" ht="15" customHeight="1" x14ac:dyDescent="0.2">
      <c r="A57" s="1" t="s">
        <v>172</v>
      </c>
      <c r="B57" s="43">
        <v>450</v>
      </c>
      <c r="C57" s="1" t="s">
        <v>12</v>
      </c>
      <c r="D57" s="35">
        <f>B57*12</f>
        <v>5400</v>
      </c>
      <c r="E57" s="36" t="s">
        <v>173</v>
      </c>
      <c r="F57" s="43"/>
      <c r="G57" s="32" t="s">
        <v>185</v>
      </c>
    </row>
    <row r="58" spans="1:8" ht="15" customHeight="1" x14ac:dyDescent="0.2">
      <c r="A58" s="34" t="s">
        <v>182</v>
      </c>
      <c r="B58" s="9">
        <f>IF(F57=0,D57*0.05,F57*0.05)</f>
        <v>270</v>
      </c>
      <c r="C58" s="1" t="s">
        <v>36</v>
      </c>
      <c r="D58" s="35"/>
      <c r="E58" s="35"/>
    </row>
    <row r="59" spans="1:8" ht="15" customHeight="1" x14ac:dyDescent="0.2">
      <c r="A59" s="1" t="s">
        <v>174</v>
      </c>
      <c r="B59" s="43"/>
      <c r="C59" s="1" t="s">
        <v>12</v>
      </c>
      <c r="D59" s="35">
        <f>B59*35</f>
        <v>0</v>
      </c>
      <c r="E59" s="36" t="s">
        <v>173</v>
      </c>
      <c r="F59" s="43"/>
      <c r="G59" s="32" t="s">
        <v>184</v>
      </c>
    </row>
    <row r="60" spans="1:8" ht="15" customHeight="1" x14ac:dyDescent="0.2">
      <c r="A60" s="34" t="s">
        <v>183</v>
      </c>
      <c r="B60" s="9">
        <f>IF(F59=0,D59*0.07,F59*0.07)</f>
        <v>0</v>
      </c>
      <c r="C60" s="1" t="s">
        <v>36</v>
      </c>
      <c r="D60" s="19"/>
      <c r="E60" s="19"/>
    </row>
    <row r="61" spans="1:8" ht="15" customHeight="1" x14ac:dyDescent="0.2"/>
    <row r="62" spans="1:8" ht="15" customHeight="1" x14ac:dyDescent="0.2">
      <c r="A62" s="3" t="s">
        <v>165</v>
      </c>
      <c r="C62" s="33" t="s">
        <v>235</v>
      </c>
    </row>
    <row r="63" spans="1:8" ht="15" customHeight="1" x14ac:dyDescent="0.2">
      <c r="A63" s="1" t="s">
        <v>40</v>
      </c>
      <c r="C63" s="11" t="s">
        <v>46</v>
      </c>
      <c r="D63" s="11" t="s">
        <v>50</v>
      </c>
      <c r="E63" s="11" t="s">
        <v>51</v>
      </c>
      <c r="F63" s="11" t="s">
        <v>52</v>
      </c>
      <c r="G63" s="11" t="s">
        <v>53</v>
      </c>
    </row>
    <row r="64" spans="1:8" ht="15" customHeight="1" x14ac:dyDescent="0.2">
      <c r="A64" s="1" t="s">
        <v>29</v>
      </c>
      <c r="B64" s="9">
        <f>C64*Grundregeln!B54+D64*Grundregeln!C54+E64*Grundregeln!D54</f>
        <v>0</v>
      </c>
      <c r="C64" s="44"/>
      <c r="D64" s="44"/>
      <c r="E64" s="44"/>
      <c r="F64" s="14"/>
      <c r="G64" s="14"/>
      <c r="H64" s="11" t="s">
        <v>73</v>
      </c>
    </row>
    <row r="65" spans="1:8" ht="15" customHeight="1" x14ac:dyDescent="0.2">
      <c r="A65" s="1" t="s">
        <v>31</v>
      </c>
      <c r="B65" s="9">
        <f>C65*Grundregeln!B55+D65*Grundregeln!C55+E65*Grundregeln!D55+F65*Grundregeln!E55</f>
        <v>480</v>
      </c>
      <c r="C65" s="44"/>
      <c r="D65" s="45">
        <v>2</v>
      </c>
      <c r="E65" s="44"/>
      <c r="F65" s="44"/>
      <c r="G65" s="14"/>
      <c r="H65" s="11" t="s">
        <v>83</v>
      </c>
    </row>
    <row r="66" spans="1:8" ht="15" customHeight="1" x14ac:dyDescent="0.2">
      <c r="A66" s="1" t="s">
        <v>33</v>
      </c>
      <c r="B66" s="9">
        <f>C66*Grundregeln!B56+D66*Grundregeln!C56+E66*Grundregeln!D56+F66*Grundregeln!E56+G66*Grundregeln!F56</f>
        <v>0</v>
      </c>
      <c r="C66" s="44"/>
      <c r="D66" s="45"/>
      <c r="E66" s="44"/>
      <c r="F66" s="45"/>
      <c r="G66" s="44"/>
      <c r="H66" s="11" t="s">
        <v>87</v>
      </c>
    </row>
    <row r="67" spans="1:8" ht="15" customHeight="1" x14ac:dyDescent="0.2">
      <c r="A67" s="3"/>
      <c r="B67" s="9"/>
      <c r="C67" s="1"/>
    </row>
    <row r="68" spans="1:8" ht="15" customHeight="1" x14ac:dyDescent="0.2">
      <c r="A68" s="3" t="s">
        <v>166</v>
      </c>
      <c r="B68" s="9"/>
      <c r="C68" s="33" t="s">
        <v>236</v>
      </c>
    </row>
    <row r="69" spans="1:8" ht="15" customHeight="1" x14ac:dyDescent="0.2">
      <c r="A69" s="1" t="s">
        <v>40</v>
      </c>
      <c r="B69" s="9"/>
      <c r="C69" s="11" t="s">
        <v>46</v>
      </c>
      <c r="D69" s="11" t="s">
        <v>50</v>
      </c>
      <c r="E69" s="11" t="s">
        <v>51</v>
      </c>
      <c r="F69" s="11" t="s">
        <v>52</v>
      </c>
      <c r="G69" s="11" t="s">
        <v>53</v>
      </c>
    </row>
    <row r="70" spans="1:8" ht="15" customHeight="1" x14ac:dyDescent="0.2">
      <c r="A70" s="1" t="s">
        <v>29</v>
      </c>
      <c r="B70" s="9">
        <f>C70*Grundregeln!B54+D70*Grundregeln!C54+E70*Grundregeln!D54+F70*Grundregeln!E54+G70*Grundregeln!F54</f>
        <v>0</v>
      </c>
      <c r="C70" s="45"/>
      <c r="D70" s="44"/>
      <c r="E70" s="44"/>
      <c r="F70" s="14"/>
      <c r="G70" s="14"/>
      <c r="H70" s="11" t="s">
        <v>73</v>
      </c>
    </row>
    <row r="71" spans="1:8" ht="15" customHeight="1" x14ac:dyDescent="0.2">
      <c r="A71" s="1" t="s">
        <v>31</v>
      </c>
      <c r="B71" s="9">
        <f>C71*Grundregeln!B55+D71*Grundregeln!C55+E71*Grundregeln!D55+F71*Grundregeln!E55+G71*Grundregeln!F55</f>
        <v>480</v>
      </c>
      <c r="C71" s="44"/>
      <c r="D71" s="45">
        <v>2</v>
      </c>
      <c r="E71" s="45"/>
      <c r="F71" s="44"/>
      <c r="G71" s="14"/>
      <c r="H71" s="11" t="s">
        <v>83</v>
      </c>
    </row>
    <row r="72" spans="1:8" ht="15" customHeight="1" x14ac:dyDescent="0.2">
      <c r="A72" s="1" t="s">
        <v>33</v>
      </c>
      <c r="B72" s="9">
        <f>C72*Grundregeln!B56+D72*Grundregeln!C56+E72*Grundregeln!D56+F72*Grundregeln!E56+G72*Grundregeln!F56</f>
        <v>0</v>
      </c>
      <c r="C72" s="44"/>
      <c r="D72" s="45"/>
      <c r="E72" s="45"/>
      <c r="F72" s="44"/>
      <c r="G72" s="44"/>
      <c r="H72" s="11" t="s">
        <v>87</v>
      </c>
    </row>
    <row r="73" spans="1:8" ht="15" customHeight="1" x14ac:dyDescent="0.2">
      <c r="B73" s="9"/>
    </row>
    <row r="74" spans="1:8" ht="15" customHeight="1" x14ac:dyDescent="0.2">
      <c r="A74" s="3" t="s">
        <v>167</v>
      </c>
      <c r="B74" s="9"/>
      <c r="C74" s="33" t="s">
        <v>237</v>
      </c>
    </row>
    <row r="75" spans="1:8" ht="15" customHeight="1" x14ac:dyDescent="0.2">
      <c r="A75" s="1" t="s">
        <v>40</v>
      </c>
      <c r="B75" s="9"/>
      <c r="C75" s="11" t="s">
        <v>46</v>
      </c>
      <c r="D75" s="11" t="s">
        <v>50</v>
      </c>
      <c r="E75" s="11" t="s">
        <v>51</v>
      </c>
      <c r="F75" s="11" t="s">
        <v>52</v>
      </c>
      <c r="G75" s="11" t="s">
        <v>53</v>
      </c>
    </row>
    <row r="76" spans="1:8" ht="15" customHeight="1" x14ac:dyDescent="0.2">
      <c r="A76" s="1" t="s">
        <v>27</v>
      </c>
      <c r="B76" s="9">
        <f>C76*Grundregeln!B53+D76*Grundregeln!C53+E76*Grundregeln!D53+F76*Grundregeln!E53+G76*Grundregeln!F53</f>
        <v>72</v>
      </c>
      <c r="C76" s="45">
        <v>5</v>
      </c>
      <c r="D76" s="45">
        <v>2</v>
      </c>
      <c r="E76" s="26"/>
      <c r="F76" s="14"/>
      <c r="G76" s="14"/>
      <c r="H76" s="11" t="s">
        <v>92</v>
      </c>
    </row>
    <row r="77" spans="1:8" ht="15" customHeight="1" x14ac:dyDescent="0.2">
      <c r="A77" s="1" t="s">
        <v>29</v>
      </c>
      <c r="B77" s="9">
        <f>C77*Grundregeln!B54+D77*Grundregeln!C54+E77*Grundregeln!D54+F77*Grundregeln!E54+G77*Grundregeln!F54</f>
        <v>0</v>
      </c>
      <c r="C77" s="45"/>
      <c r="D77" s="45"/>
      <c r="E77" s="45"/>
      <c r="F77" s="14"/>
      <c r="G77" s="14"/>
      <c r="H77" s="11" t="s">
        <v>73</v>
      </c>
    </row>
    <row r="78" spans="1:8" ht="15" customHeight="1" x14ac:dyDescent="0.2">
      <c r="A78" s="1" t="s">
        <v>31</v>
      </c>
      <c r="B78" s="9">
        <f>C78*Grundregeln!B55+D78*Grundregeln!C55+E78*Grundregeln!D55+F78*Grundregeln!E55+G78*Grundregeln!F55</f>
        <v>0</v>
      </c>
      <c r="C78" s="45"/>
      <c r="D78" s="45"/>
      <c r="E78" s="45"/>
      <c r="F78" s="45"/>
      <c r="G78" s="14"/>
      <c r="H78" s="11" t="s">
        <v>83</v>
      </c>
    </row>
    <row r="79" spans="1:8" ht="15" customHeight="1" x14ac:dyDescent="0.2">
      <c r="A79" s="1" t="s">
        <v>33</v>
      </c>
      <c r="B79" s="9">
        <f>C79*Grundregeln!B56+D79*Grundregeln!C56+E79*Grundregeln!D56+F79*Grundregeln!E56+G79*Grundregeln!F56</f>
        <v>0</v>
      </c>
      <c r="C79" s="45"/>
      <c r="D79" s="45"/>
      <c r="E79" s="45"/>
      <c r="F79" s="45"/>
      <c r="G79" s="45"/>
      <c r="H79" s="11" t="s">
        <v>87</v>
      </c>
    </row>
    <row r="80" spans="1:8" ht="15" customHeight="1" x14ac:dyDescent="0.2"/>
    <row r="81" spans="1:9" ht="15" customHeight="1" x14ac:dyDescent="0.2">
      <c r="A81" s="3" t="s">
        <v>168</v>
      </c>
      <c r="C81" s="33" t="s">
        <v>238</v>
      </c>
    </row>
    <row r="82" spans="1:9" ht="15" customHeight="1" x14ac:dyDescent="0.2">
      <c r="A82" s="1" t="s">
        <v>40</v>
      </c>
      <c r="C82" s="11" t="s">
        <v>102</v>
      </c>
      <c r="D82" s="11" t="s">
        <v>103</v>
      </c>
      <c r="E82" s="11" t="s">
        <v>104</v>
      </c>
      <c r="F82" s="11" t="s">
        <v>105</v>
      </c>
      <c r="G82" s="11" t="s">
        <v>106</v>
      </c>
      <c r="H82" s="11" t="s">
        <v>107</v>
      </c>
    </row>
    <row r="83" spans="1:9" ht="15" customHeight="1" x14ac:dyDescent="0.2">
      <c r="A83" s="33" t="s">
        <v>239</v>
      </c>
      <c r="B83">
        <f>C83*Grundregeln!B59+D83*Grundregeln!C59+E83*Grundregeln!D59+F83*Grundregeln!E59+G83*Grundregeln!F59+H83*Grundregeln!G59</f>
        <v>396</v>
      </c>
      <c r="C83" s="45">
        <v>6</v>
      </c>
      <c r="D83" s="45"/>
      <c r="E83" s="45">
        <v>1</v>
      </c>
      <c r="F83" s="45"/>
      <c r="G83" s="45"/>
      <c r="H83" s="45"/>
    </row>
    <row r="84" spans="1:9" ht="15" customHeight="1" x14ac:dyDescent="0.2"/>
    <row r="85" spans="1:9" ht="15" customHeight="1" x14ac:dyDescent="0.2">
      <c r="A85" s="3" t="s">
        <v>175</v>
      </c>
    </row>
    <row r="86" spans="1:9" ht="15" customHeight="1" x14ac:dyDescent="0.2">
      <c r="A86" s="1" t="s">
        <v>176</v>
      </c>
      <c r="C86" s="16" t="s">
        <v>112</v>
      </c>
      <c r="D86" s="16" t="s">
        <v>113</v>
      </c>
      <c r="E86" s="16" t="s">
        <v>114</v>
      </c>
      <c r="F86" s="16" t="s">
        <v>115</v>
      </c>
      <c r="G86" s="16" t="s">
        <v>116</v>
      </c>
      <c r="H86" s="16" t="s">
        <v>117</v>
      </c>
      <c r="I86" s="11" t="s">
        <v>118</v>
      </c>
    </row>
    <row r="87" spans="1:9" ht="15" customHeight="1" x14ac:dyDescent="0.2">
      <c r="A87" s="1" t="s">
        <v>119</v>
      </c>
      <c r="B87">
        <f>C87*Grundregeln!B62+D87*Grundregeln!C62+E87*Grundregeln!D62+F87*Grundregeln!E62+G87*Grundregeln!F62+H87*Grundregeln!G62+I87*Grundregeln!H62</f>
        <v>0</v>
      </c>
      <c r="C87" s="45"/>
      <c r="D87" s="44"/>
      <c r="E87" s="45"/>
      <c r="F87" s="44"/>
      <c r="G87" s="45"/>
      <c r="H87" s="44"/>
      <c r="I87" s="45"/>
    </row>
    <row r="88" spans="1:9" ht="15" customHeight="1" x14ac:dyDescent="0.2">
      <c r="A88" s="1" t="s">
        <v>121</v>
      </c>
      <c r="B88">
        <f>C88*Grundregeln!B63+D88*Grundregeln!C63+E88*Grundregeln!D63+F88*Grundregeln!E63+G88*Grundregeln!F63+H88*Grundregeln!G63+I88*Grundregeln!H63</f>
        <v>0</v>
      </c>
      <c r="C88" s="44"/>
      <c r="D88" s="45"/>
      <c r="E88" s="45"/>
      <c r="F88" s="45"/>
      <c r="G88" s="45"/>
      <c r="H88" s="44"/>
      <c r="I88" s="44"/>
    </row>
    <row r="89" spans="1:9" ht="15" customHeight="1" x14ac:dyDescent="0.2"/>
    <row r="90" spans="1:9" ht="15" customHeight="1" x14ac:dyDescent="0.2">
      <c r="A90" s="39" t="s">
        <v>211</v>
      </c>
    </row>
    <row r="91" spans="1:9" ht="15" customHeight="1" x14ac:dyDescent="0.2">
      <c r="A91" s="33" t="s">
        <v>203</v>
      </c>
      <c r="B91" s="43">
        <v>1</v>
      </c>
      <c r="C91" s="36">
        <f>VLOOKUP(B92,Grundregeln!A46:C49,2,FALSE)</f>
        <v>120</v>
      </c>
    </row>
    <row r="92" spans="1:9" ht="15" customHeight="1" x14ac:dyDescent="0.2">
      <c r="A92" s="51" t="s">
        <v>205</v>
      </c>
      <c r="B92" s="43" t="s">
        <v>188</v>
      </c>
      <c r="C92" t="str">
        <f>VLOOKUP(B92,Grundregeln!A46:C49,3,FALSE)</f>
        <v>Gute Küche mit täglich Fleisch, dazu passende Weine oder edles Bier</v>
      </c>
    </row>
    <row r="93" spans="1:9" ht="15" customHeight="1" x14ac:dyDescent="0.2">
      <c r="A93" s="51" t="s">
        <v>204</v>
      </c>
      <c r="B93">
        <f>SUM(C64:G66)</f>
        <v>2</v>
      </c>
      <c r="C93" s="36">
        <f>VLOOKUP(B94,Grundregeln!A46:C49,2,FALSE)</f>
        <v>24</v>
      </c>
    </row>
    <row r="94" spans="1:9" ht="15" customHeight="1" x14ac:dyDescent="0.2">
      <c r="A94" s="51" t="s">
        <v>206</v>
      </c>
      <c r="B94" s="43" t="s">
        <v>187</v>
      </c>
      <c r="C94" t="str">
        <f>VLOOKUP(B94,Grundregeln!A46:C49,3,FALSE)</f>
        <v>Drei gutbürgerliche Mahlzeiten am Tag (mindestens 1x/Woche Fleisch) dazu gutes Bier oder einfacher Wein</v>
      </c>
    </row>
    <row r="95" spans="1:9" ht="15" customHeight="1" x14ac:dyDescent="0.2">
      <c r="A95" s="51" t="s">
        <v>207</v>
      </c>
      <c r="B95">
        <f>B91*C91+B93*C93</f>
        <v>168</v>
      </c>
      <c r="C95" s="32" t="s">
        <v>36</v>
      </c>
    </row>
    <row r="96" spans="1:9" ht="15" customHeight="1" x14ac:dyDescent="0.2"/>
    <row r="97" spans="1:4" x14ac:dyDescent="0.25">
      <c r="A97" s="2" t="s">
        <v>177</v>
      </c>
      <c r="C97" s="27">
        <f>B30</f>
        <v>4495.6910399999997</v>
      </c>
      <c r="D97" s="28" t="s">
        <v>142</v>
      </c>
    </row>
    <row r="98" spans="1:4" x14ac:dyDescent="0.25">
      <c r="A98" s="2" t="s">
        <v>178</v>
      </c>
      <c r="C98" s="27">
        <f>B41</f>
        <v>3922.0083872</v>
      </c>
      <c r="D98" s="28" t="s">
        <v>142</v>
      </c>
    </row>
    <row r="99" spans="1:4" ht="15" customHeight="1" x14ac:dyDescent="0.25">
      <c r="C99" s="29"/>
      <c r="D99" s="30"/>
    </row>
    <row r="100" spans="1:4" x14ac:dyDescent="0.25">
      <c r="A100" s="2" t="s">
        <v>179</v>
      </c>
      <c r="C100" s="27">
        <f>C97-C98</f>
        <v>573.68265279999969</v>
      </c>
      <c r="D100" s="28" t="s">
        <v>142</v>
      </c>
    </row>
    <row r="101" spans="1:4" ht="15" customHeight="1" x14ac:dyDescent="0.2"/>
    <row r="102" spans="1:4" ht="15" customHeight="1" x14ac:dyDescent="0.2"/>
    <row r="103" spans="1:4" ht="15" customHeight="1" x14ac:dyDescent="0.2"/>
    <row r="104" spans="1:4" ht="15" customHeight="1" x14ac:dyDescent="0.2"/>
    <row r="105" spans="1:4" ht="15" customHeight="1" x14ac:dyDescent="0.2"/>
  </sheetData>
  <sheetProtection sheet="1" objects="1" scenarios="1" selectLockedCells="1"/>
  <conditionalFormatting sqref="C100">
    <cfRule type="cellIs" dxfId="3" priority="1" operator="greaterThan">
      <formula>0</formula>
    </cfRule>
  </conditionalFormatting>
  <conditionalFormatting sqref="C100">
    <cfRule type="cellIs" dxfId="2" priority="2" operator="lessThan">
      <formula>0</formula>
    </cfRule>
  </conditionalFormatting>
  <conditionalFormatting sqref="C97">
    <cfRule type="notContainsBlanks" dxfId="1" priority="3">
      <formula>LEN(TRIM(C97))&gt;0</formula>
    </cfRule>
  </conditionalFormatting>
  <conditionalFormatting sqref="C98">
    <cfRule type="notContainsBlanks" dxfId="0" priority="4">
      <formula>LEN(TRIM(C98))&gt;0</formula>
    </cfRule>
  </conditionalFormatting>
  <pageMargins left="0.7" right="0.7" top="0.78740157499999996" bottom="0.78740157499999996" header="0.3" footer="0.3"/>
  <ignoredErrors>
    <ignoredError sqref="C92:C93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Grundregeln!$C$3:$G$3</xm:f>
          </x14:formula1>
          <xm:sqref>B3</xm:sqref>
        </x14:dataValidation>
        <x14:dataValidation type="list" allowBlank="1">
          <x14:formula1>
            <xm:f>Grundregeln!$A$70:$E$70</xm:f>
          </x14:formula1>
          <xm:sqref>B5</xm:sqref>
        </x14:dataValidation>
        <x14:dataValidation type="list" allowBlank="1">
          <x14:formula1>
            <xm:f>Grundregeln!$A$72:$A$73</xm:f>
          </x14:formula1>
          <xm:sqref>B8:B15</xm:sqref>
        </x14:dataValidation>
        <x14:dataValidation type="list" allowBlank="1" showInputMessage="1" showErrorMessage="1">
          <x14:formula1>
            <xm:f>Grundregeln!$A$46:$A$49</xm:f>
          </x14:formula1>
          <xm:sqref>B92 B94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H27"/>
  <sheetViews>
    <sheetView workbookViewId="0">
      <selection activeCell="B11" sqref="B11"/>
    </sheetView>
  </sheetViews>
  <sheetFormatPr baseColWidth="10" defaultColWidth="14.42578125" defaultRowHeight="15.75" customHeight="1" x14ac:dyDescent="0.2"/>
  <cols>
    <col min="1" max="1" width="53.28515625" customWidth="1"/>
  </cols>
  <sheetData>
    <row r="2" spans="1:8" ht="15.75" customHeight="1" x14ac:dyDescent="0.2">
      <c r="A2" s="1" t="s">
        <v>0</v>
      </c>
    </row>
    <row r="3" spans="1:8" ht="15.75" customHeight="1" x14ac:dyDescent="0.2">
      <c r="A3" s="1" t="s">
        <v>1</v>
      </c>
    </row>
    <row r="4" spans="1:8" ht="15.75" customHeight="1" x14ac:dyDescent="0.2">
      <c r="A4" s="1" t="s">
        <v>2</v>
      </c>
      <c r="B4" s="1" t="s">
        <v>3</v>
      </c>
    </row>
    <row r="5" spans="1:8" ht="15.75" customHeight="1" x14ac:dyDescent="0.2">
      <c r="A5" s="1" t="s">
        <v>4</v>
      </c>
      <c r="B5" s="1" t="s">
        <v>5</v>
      </c>
    </row>
    <row r="6" spans="1:8" ht="15.75" customHeight="1" x14ac:dyDescent="0.2">
      <c r="A6" s="1" t="s">
        <v>6</v>
      </c>
      <c r="B6" s="1" t="s">
        <v>7</v>
      </c>
    </row>
    <row r="8" spans="1:8" ht="15.75" customHeight="1" x14ac:dyDescent="0.2">
      <c r="A8" s="1" t="s">
        <v>8</v>
      </c>
    </row>
    <row r="10" spans="1:8" ht="15.75" customHeight="1" x14ac:dyDescent="0.2">
      <c r="A10" s="3" t="s">
        <v>9</v>
      </c>
    </row>
    <row r="11" spans="1:8" ht="15.75" customHeight="1" x14ac:dyDescent="0.2">
      <c r="A11" s="1" t="s">
        <v>11</v>
      </c>
      <c r="B11" s="45">
        <v>400</v>
      </c>
      <c r="C11" s="1" t="s">
        <v>12</v>
      </c>
      <c r="D11" s="5">
        <f>B11*15</f>
        <v>6000</v>
      </c>
      <c r="E11" s="7" t="s">
        <v>26</v>
      </c>
    </row>
    <row r="12" spans="1:8" ht="15.75" customHeight="1" x14ac:dyDescent="0.2">
      <c r="A12" s="1" t="s">
        <v>28</v>
      </c>
      <c r="B12" s="9">
        <f>D11*0.025</f>
        <v>150</v>
      </c>
      <c r="C12" s="1" t="s">
        <v>36</v>
      </c>
    </row>
    <row r="14" spans="1:8" ht="15.75" customHeight="1" x14ac:dyDescent="0.2">
      <c r="A14" s="3" t="s">
        <v>38</v>
      </c>
      <c r="B14" s="9"/>
      <c r="C14" s="1"/>
    </row>
    <row r="15" spans="1:8" ht="15.75" customHeight="1" x14ac:dyDescent="0.2">
      <c r="A15" s="1" t="s">
        <v>40</v>
      </c>
      <c r="B15" s="10" t="s">
        <v>41</v>
      </c>
      <c r="C15" s="11" t="s">
        <v>46</v>
      </c>
      <c r="D15" s="11" t="s">
        <v>50</v>
      </c>
      <c r="E15" s="11" t="s">
        <v>51</v>
      </c>
      <c r="F15" s="11" t="s">
        <v>52</v>
      </c>
      <c r="G15" s="11" t="s">
        <v>53</v>
      </c>
    </row>
    <row r="16" spans="1:8" ht="15.75" customHeight="1" x14ac:dyDescent="0.2">
      <c r="A16" s="1" t="s">
        <v>54</v>
      </c>
      <c r="B16" s="9">
        <f>C16*Grundregeln!B54+D16*Grundregeln!C54+E16*Grundregeln!D54+F16*Grundregeln!E54+G16*Grundregeln!F54</f>
        <v>204</v>
      </c>
      <c r="C16" s="45">
        <v>1</v>
      </c>
      <c r="D16" s="45">
        <v>2</v>
      </c>
      <c r="E16" s="44"/>
      <c r="F16" s="14"/>
      <c r="G16" s="14"/>
      <c r="H16" s="11" t="s">
        <v>73</v>
      </c>
    </row>
    <row r="17" spans="1:8" ht="15.75" customHeight="1" x14ac:dyDescent="0.2">
      <c r="A17" s="1" t="s">
        <v>76</v>
      </c>
      <c r="B17" s="9">
        <f>C17*Grundregeln!B55+D17*Grundregeln!C55+E17*Grundregeln!D55+F17*Grundregeln!E55+G17*Grundregeln!F55</f>
        <v>720</v>
      </c>
      <c r="C17" s="44"/>
      <c r="D17" s="45">
        <v>3</v>
      </c>
      <c r="E17" s="45"/>
      <c r="F17" s="44"/>
      <c r="G17" s="14"/>
      <c r="H17" s="11" t="s">
        <v>83</v>
      </c>
    </row>
    <row r="18" spans="1:8" ht="15.75" customHeight="1" x14ac:dyDescent="0.2">
      <c r="A18" s="1" t="s">
        <v>84</v>
      </c>
      <c r="B18" s="9">
        <f>C18*Grundregeln!B56+D18*Grundregeln!C56+E18*Grundregeln!D56+F18*Grundregeln!E56+G18*Grundregeln!F56</f>
        <v>1080</v>
      </c>
      <c r="C18" s="44"/>
      <c r="D18" s="45"/>
      <c r="E18" s="45">
        <v>1</v>
      </c>
      <c r="F18" s="44"/>
      <c r="G18" s="44"/>
      <c r="H18" s="11" t="s">
        <v>87</v>
      </c>
    </row>
    <row r="20" spans="1:8" ht="15.75" customHeight="1" x14ac:dyDescent="0.2">
      <c r="A20" s="3" t="s">
        <v>88</v>
      </c>
    </row>
    <row r="21" spans="1:8" ht="15.75" customHeight="1" x14ac:dyDescent="0.2">
      <c r="A21" s="1" t="s">
        <v>89</v>
      </c>
      <c r="B21" s="45">
        <v>250</v>
      </c>
      <c r="C21" s="1" t="s">
        <v>36</v>
      </c>
    </row>
    <row r="23" spans="1:8" ht="15.75" customHeight="1" x14ac:dyDescent="0.2">
      <c r="A23" s="3" t="s">
        <v>90</v>
      </c>
      <c r="B23" s="9">
        <f>B21+B18+B16+B17+B12</f>
        <v>2404</v>
      </c>
      <c r="C23" s="1" t="s">
        <v>36</v>
      </c>
    </row>
    <row r="24" spans="1:8" ht="15.75" customHeight="1" x14ac:dyDescent="0.2">
      <c r="A24" s="1" t="s">
        <v>94</v>
      </c>
      <c r="B24" s="50">
        <v>0.1</v>
      </c>
    </row>
    <row r="25" spans="1:8" ht="15.75" customHeight="1" x14ac:dyDescent="0.2">
      <c r="A25" s="3" t="s">
        <v>96</v>
      </c>
      <c r="B25" s="9">
        <f>B23*(1+B24)</f>
        <v>2644.4</v>
      </c>
      <c r="C25" s="1" t="s">
        <v>36</v>
      </c>
    </row>
    <row r="26" spans="1:8" ht="15.75" customHeight="1" x14ac:dyDescent="0.2">
      <c r="A26" s="3"/>
    </row>
    <row r="27" spans="1:8" ht="15.75" customHeight="1" x14ac:dyDescent="0.2">
      <c r="A27" s="3" t="s">
        <v>98</v>
      </c>
      <c r="B27" s="18">
        <f>B25-B23</f>
        <v>240.40000000000009</v>
      </c>
      <c r="C27" s="1" t="s">
        <v>36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66"/>
  </sheetPr>
  <dimension ref="A1:J80"/>
  <sheetViews>
    <sheetView zoomScale="115" zoomScaleNormal="115" workbookViewId="0">
      <selection activeCell="A46" sqref="A46"/>
    </sheetView>
  </sheetViews>
  <sheetFormatPr baseColWidth="10" defaultColWidth="14.42578125" defaultRowHeight="15.75" customHeight="1" x14ac:dyDescent="0.2"/>
  <cols>
    <col min="1" max="1" width="30.140625" customWidth="1"/>
    <col min="2" max="2" width="26.28515625" customWidth="1"/>
    <col min="3" max="3" width="37.7109375" customWidth="1"/>
    <col min="4" max="8" width="25" customWidth="1"/>
    <col min="9" max="9" width="24.42578125" customWidth="1"/>
  </cols>
  <sheetData>
    <row r="1" spans="1:10" x14ac:dyDescent="0.25">
      <c r="A1" s="37" t="s">
        <v>13</v>
      </c>
      <c r="B1" s="1"/>
      <c r="C1" s="1"/>
      <c r="D1" s="1"/>
      <c r="E1" s="1"/>
      <c r="F1" s="1"/>
      <c r="G1" s="1"/>
    </row>
    <row r="2" spans="1:10" ht="15.75" customHeight="1" x14ac:dyDescent="0.2">
      <c r="A2" s="3"/>
      <c r="B2" s="1"/>
      <c r="C2" s="1"/>
      <c r="D2" s="1"/>
      <c r="E2" s="1"/>
      <c r="F2" s="1"/>
      <c r="G2" s="1"/>
    </row>
    <row r="3" spans="1:10" ht="15.75" customHeight="1" x14ac:dyDescent="0.2">
      <c r="A3" s="3" t="s">
        <v>14</v>
      </c>
      <c r="B3" s="1"/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</row>
    <row r="4" spans="1:10" ht="15.75" customHeight="1" x14ac:dyDescent="0.2">
      <c r="B4" s="4"/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6" t="s">
        <v>25</v>
      </c>
    </row>
    <row r="5" spans="1:10" ht="15.75" customHeight="1" x14ac:dyDescent="0.2">
      <c r="A5" s="1" t="s">
        <v>27</v>
      </c>
      <c r="B5" s="8"/>
      <c r="C5" s="8">
        <v>0.69</v>
      </c>
      <c r="D5" s="8">
        <v>0.57999999999999996</v>
      </c>
      <c r="E5" s="8">
        <v>0.2</v>
      </c>
      <c r="F5" s="8">
        <v>0.1</v>
      </c>
      <c r="G5" s="8">
        <v>0.1</v>
      </c>
      <c r="H5" s="1">
        <v>1.5</v>
      </c>
    </row>
    <row r="6" spans="1:10" ht="15.75" customHeight="1" x14ac:dyDescent="0.2">
      <c r="A6" s="1" t="s">
        <v>29</v>
      </c>
      <c r="B6" s="8"/>
      <c r="C6" s="8">
        <v>0.3</v>
      </c>
      <c r="D6" s="8">
        <v>0.4</v>
      </c>
      <c r="E6" s="8">
        <v>0.75</v>
      </c>
      <c r="F6" s="8">
        <v>0.8</v>
      </c>
      <c r="G6" s="8">
        <v>0.7</v>
      </c>
      <c r="H6" s="1">
        <v>8</v>
      </c>
    </row>
    <row r="7" spans="1:10" ht="15.75" customHeight="1" x14ac:dyDescent="0.2">
      <c r="A7" s="1" t="s">
        <v>31</v>
      </c>
      <c r="B7" s="8"/>
      <c r="C7" s="8">
        <v>0.01</v>
      </c>
      <c r="D7" s="8">
        <v>0.02</v>
      </c>
      <c r="E7" s="8">
        <v>0.04</v>
      </c>
      <c r="F7" s="8">
        <v>0.08</v>
      </c>
      <c r="G7" s="8">
        <v>0.15</v>
      </c>
      <c r="H7" s="1">
        <v>20</v>
      </c>
    </row>
    <row r="8" spans="1:10" ht="15.75" customHeight="1" x14ac:dyDescent="0.2">
      <c r="A8" s="1" t="s">
        <v>33</v>
      </c>
      <c r="B8" s="8"/>
      <c r="C8" s="8">
        <v>0</v>
      </c>
      <c r="D8" s="8">
        <v>0</v>
      </c>
      <c r="E8" s="8">
        <v>0.01</v>
      </c>
      <c r="F8" s="8">
        <v>0.02</v>
      </c>
      <c r="G8" s="8">
        <v>0.05</v>
      </c>
      <c r="H8" s="1">
        <v>90</v>
      </c>
    </row>
    <row r="9" spans="1:10" ht="15.75" customHeight="1" x14ac:dyDescent="0.2">
      <c r="D9" s="1"/>
      <c r="E9" s="1"/>
      <c r="F9" s="1"/>
      <c r="G9" s="1"/>
      <c r="H9" s="1"/>
      <c r="J9" s="1"/>
    </row>
    <row r="10" spans="1:10" ht="15.75" customHeight="1" x14ac:dyDescent="0.2">
      <c r="F10" s="1"/>
      <c r="H10" s="1"/>
      <c r="J10" s="1"/>
    </row>
    <row r="11" spans="1:10" ht="15.75" customHeight="1" x14ac:dyDescent="0.2">
      <c r="A11" s="3" t="s">
        <v>30</v>
      </c>
      <c r="B11" s="1" t="s">
        <v>34</v>
      </c>
      <c r="F11" s="1"/>
      <c r="H11" s="1"/>
    </row>
    <row r="12" spans="1:10" ht="15.75" customHeight="1" x14ac:dyDescent="0.2">
      <c r="A12" s="4" t="s">
        <v>35</v>
      </c>
      <c r="B12" s="1">
        <v>0.25</v>
      </c>
      <c r="F12" s="1"/>
      <c r="J12" s="1"/>
    </row>
    <row r="13" spans="1:10" ht="15.75" customHeight="1" x14ac:dyDescent="0.2">
      <c r="A13" s="4" t="s">
        <v>37</v>
      </c>
      <c r="B13" s="1">
        <v>0.5</v>
      </c>
      <c r="F13" s="1"/>
      <c r="J13" s="1"/>
    </row>
    <row r="14" spans="1:10" ht="15.75" customHeight="1" x14ac:dyDescent="0.2">
      <c r="A14" s="4" t="s">
        <v>39</v>
      </c>
      <c r="B14" s="1">
        <v>1</v>
      </c>
      <c r="F14" s="1"/>
    </row>
    <row r="15" spans="1:10" ht="15.75" customHeight="1" x14ac:dyDescent="0.2">
      <c r="A15" s="4" t="s">
        <v>42</v>
      </c>
      <c r="B15" s="1">
        <v>1.5</v>
      </c>
      <c r="F15" s="1"/>
      <c r="J15" s="1"/>
    </row>
    <row r="16" spans="1:10" ht="15.75" customHeight="1" x14ac:dyDescent="0.2">
      <c r="A16" s="4" t="s">
        <v>43</v>
      </c>
      <c r="B16" s="1">
        <v>2</v>
      </c>
      <c r="F16" s="1"/>
      <c r="J16" s="1"/>
    </row>
    <row r="18" spans="1:7" ht="15.75" customHeight="1" x14ac:dyDescent="0.2">
      <c r="A18" s="3" t="s">
        <v>44</v>
      </c>
      <c r="B18" s="1" t="s">
        <v>45</v>
      </c>
    </row>
    <row r="19" spans="1:7" ht="15.75" customHeight="1" x14ac:dyDescent="0.2">
      <c r="A19" s="1" t="s">
        <v>47</v>
      </c>
      <c r="B19" s="1">
        <v>-0.2</v>
      </c>
    </row>
    <row r="20" spans="1:7" ht="15.75" customHeight="1" x14ac:dyDescent="0.2">
      <c r="A20" s="1" t="s">
        <v>48</v>
      </c>
      <c r="B20">
        <f>0.1</f>
        <v>0.1</v>
      </c>
    </row>
    <row r="21" spans="1:7" ht="15.75" customHeight="1" x14ac:dyDescent="0.2">
      <c r="A21" s="1" t="s">
        <v>55</v>
      </c>
      <c r="B21" s="1">
        <v>0.1</v>
      </c>
    </row>
    <row r="22" spans="1:7" ht="15.75" customHeight="1" x14ac:dyDescent="0.2">
      <c r="A22" s="1" t="s">
        <v>56</v>
      </c>
      <c r="B22" s="1">
        <v>0.1</v>
      </c>
    </row>
    <row r="23" spans="1:7" ht="15.75" customHeight="1" x14ac:dyDescent="0.2">
      <c r="A23" s="1" t="s">
        <v>57</v>
      </c>
      <c r="B23" s="1">
        <v>0.1</v>
      </c>
    </row>
    <row r="24" spans="1:7" ht="15.75" customHeight="1" x14ac:dyDescent="0.2">
      <c r="A24" s="1" t="s">
        <v>58</v>
      </c>
      <c r="B24" s="1">
        <v>0.2</v>
      </c>
    </row>
    <row r="25" spans="1:7" ht="15.75" customHeight="1" x14ac:dyDescent="0.2">
      <c r="A25" s="1" t="s">
        <v>59</v>
      </c>
      <c r="B25" s="1">
        <v>0.3</v>
      </c>
    </row>
    <row r="26" spans="1:7" ht="15.75" customHeight="1" x14ac:dyDescent="0.2">
      <c r="A26" s="1" t="s">
        <v>60</v>
      </c>
      <c r="B26" s="1">
        <v>0.5</v>
      </c>
    </row>
    <row r="28" spans="1:7" ht="15.75" customHeight="1" x14ac:dyDescent="0.2">
      <c r="A28" s="3" t="s">
        <v>61</v>
      </c>
      <c r="C28" s="1" t="s">
        <v>15</v>
      </c>
      <c r="D28" s="1" t="s">
        <v>16</v>
      </c>
      <c r="E28" s="1" t="s">
        <v>17</v>
      </c>
      <c r="F28" s="1" t="s">
        <v>18</v>
      </c>
      <c r="G28" s="1" t="s">
        <v>19</v>
      </c>
    </row>
    <row r="29" spans="1:7" ht="15.75" customHeight="1" x14ac:dyDescent="0.2">
      <c r="A29" s="1" t="s">
        <v>62</v>
      </c>
      <c r="B29" s="8"/>
      <c r="C29" s="1"/>
      <c r="D29" s="1"/>
      <c r="E29" s="1"/>
      <c r="F29" s="1"/>
      <c r="G29" s="1"/>
    </row>
    <row r="30" spans="1:7" ht="15.75" customHeight="1" x14ac:dyDescent="0.2">
      <c r="A30" s="1" t="s">
        <v>63</v>
      </c>
      <c r="B30" s="1">
        <v>20</v>
      </c>
      <c r="C30" s="1">
        <v>0</v>
      </c>
      <c r="D30" s="1">
        <v>1</v>
      </c>
      <c r="E30" s="1">
        <v>2</v>
      </c>
      <c r="F30" s="1">
        <v>4</v>
      </c>
      <c r="G30" s="1">
        <v>8</v>
      </c>
    </row>
    <row r="31" spans="1:7" ht="15.75" customHeight="1" x14ac:dyDescent="0.2">
      <c r="A31" s="1" t="s">
        <v>64</v>
      </c>
      <c r="B31" s="1">
        <v>2</v>
      </c>
      <c r="C31" s="1"/>
    </row>
    <row r="32" spans="1:7" ht="15.75" customHeight="1" x14ac:dyDescent="0.2">
      <c r="A32" s="1" t="s">
        <v>65</v>
      </c>
      <c r="B32" s="1">
        <v>3</v>
      </c>
      <c r="D32" s="1"/>
    </row>
    <row r="33" spans="1:7" ht="15.75" customHeight="1" x14ac:dyDescent="0.2">
      <c r="A33" s="1" t="s">
        <v>66</v>
      </c>
      <c r="C33" s="1">
        <v>1</v>
      </c>
      <c r="D33" s="1">
        <v>2</v>
      </c>
      <c r="E33" s="1">
        <v>3</v>
      </c>
      <c r="F33" s="1">
        <v>4</v>
      </c>
      <c r="G33" s="1">
        <v>6</v>
      </c>
    </row>
    <row r="34" spans="1:7" ht="12.75" x14ac:dyDescent="0.2">
      <c r="A34" s="1" t="s">
        <v>67</v>
      </c>
      <c r="C34" s="1">
        <v>1</v>
      </c>
      <c r="D34" s="1">
        <v>2.5</v>
      </c>
      <c r="E34" s="1">
        <v>4</v>
      </c>
      <c r="F34" s="1">
        <v>5</v>
      </c>
      <c r="G34" s="1">
        <v>8</v>
      </c>
    </row>
    <row r="35" spans="1:7" ht="12.75" x14ac:dyDescent="0.2">
      <c r="A35" s="1" t="s">
        <v>68</v>
      </c>
      <c r="B35" s="1" t="s">
        <v>69</v>
      </c>
      <c r="D35" s="1"/>
    </row>
    <row r="37" spans="1:7" ht="12.75" x14ac:dyDescent="0.2">
      <c r="A37" s="3" t="s">
        <v>70</v>
      </c>
    </row>
    <row r="38" spans="1:7" ht="12.75" x14ac:dyDescent="0.2">
      <c r="A38" s="1" t="s">
        <v>71</v>
      </c>
      <c r="B38" s="1" t="s">
        <v>72</v>
      </c>
      <c r="C38" s="8"/>
      <c r="D38" s="8"/>
      <c r="E38" s="8"/>
      <c r="F38" s="8"/>
      <c r="G38" s="8"/>
    </row>
    <row r="39" spans="1:7" ht="12.75" x14ac:dyDescent="0.2">
      <c r="A39" s="1" t="s">
        <v>74</v>
      </c>
      <c r="B39" s="1" t="s">
        <v>75</v>
      </c>
      <c r="C39" s="8">
        <v>0.1</v>
      </c>
      <c r="D39" s="8">
        <v>0.1</v>
      </c>
      <c r="E39" s="8">
        <v>0.1</v>
      </c>
      <c r="F39" s="8">
        <v>0.1</v>
      </c>
      <c r="G39" s="8">
        <v>0.1</v>
      </c>
    </row>
    <row r="40" spans="1:7" ht="12.75" x14ac:dyDescent="0.2">
      <c r="A40" s="1" t="s">
        <v>78</v>
      </c>
      <c r="B40" s="1" t="s">
        <v>75</v>
      </c>
      <c r="C40" s="8">
        <v>0.1</v>
      </c>
      <c r="D40" s="8">
        <v>0.1</v>
      </c>
      <c r="E40" s="8">
        <v>0.1</v>
      </c>
      <c r="F40" s="8">
        <v>0.1</v>
      </c>
      <c r="G40" s="8">
        <v>0.1</v>
      </c>
    </row>
    <row r="41" spans="1:7" ht="12.75" x14ac:dyDescent="0.2">
      <c r="A41" s="1" t="s">
        <v>79</v>
      </c>
      <c r="B41" s="1" t="s">
        <v>81</v>
      </c>
      <c r="C41" s="1">
        <v>10</v>
      </c>
      <c r="D41" s="1">
        <v>25</v>
      </c>
      <c r="E41" s="1">
        <v>40</v>
      </c>
      <c r="F41" s="1">
        <v>50</v>
      </c>
      <c r="G41" s="1">
        <v>80</v>
      </c>
    </row>
    <row r="42" spans="1:7" ht="12.75" x14ac:dyDescent="0.2">
      <c r="A42" s="1" t="s">
        <v>82</v>
      </c>
      <c r="B42" s="1" t="s">
        <v>69</v>
      </c>
    </row>
    <row r="45" spans="1:7" ht="15.75" customHeight="1" x14ac:dyDescent="0.2">
      <c r="A45" s="39" t="s">
        <v>214</v>
      </c>
    </row>
    <row r="46" spans="1:7" ht="12.75" x14ac:dyDescent="0.2">
      <c r="A46" s="32" t="s">
        <v>187</v>
      </c>
      <c r="B46">
        <f>2*12</f>
        <v>24</v>
      </c>
      <c r="C46" s="32" t="s">
        <v>208</v>
      </c>
    </row>
    <row r="47" spans="1:7" ht="12.75" x14ac:dyDescent="0.2">
      <c r="A47" s="32" t="s">
        <v>188</v>
      </c>
      <c r="B47">
        <f>10*12</f>
        <v>120</v>
      </c>
      <c r="C47" s="32" t="s">
        <v>212</v>
      </c>
    </row>
    <row r="48" spans="1:7" ht="12.75" x14ac:dyDescent="0.2">
      <c r="A48" s="32" t="s">
        <v>189</v>
      </c>
      <c r="B48">
        <f>30*12</f>
        <v>360</v>
      </c>
      <c r="C48" s="32" t="s">
        <v>209</v>
      </c>
    </row>
    <row r="49" spans="1:8" ht="12.75" x14ac:dyDescent="0.2">
      <c r="A49" s="32" t="s">
        <v>190</v>
      </c>
      <c r="B49">
        <f>100*12</f>
        <v>1200</v>
      </c>
      <c r="C49" s="32" t="s">
        <v>210</v>
      </c>
    </row>
    <row r="50" spans="1:8" ht="12.75" x14ac:dyDescent="0.2"/>
    <row r="52" spans="1:8" ht="12.75" x14ac:dyDescent="0.2">
      <c r="B52" s="11" t="s">
        <v>46</v>
      </c>
      <c r="C52" s="11" t="s">
        <v>50</v>
      </c>
      <c r="D52" s="11" t="s">
        <v>51</v>
      </c>
      <c r="E52" s="11" t="s">
        <v>52</v>
      </c>
      <c r="F52" s="11" t="s">
        <v>53</v>
      </c>
    </row>
    <row r="53" spans="1:8" ht="12.75" x14ac:dyDescent="0.2">
      <c r="B53" s="16">
        <f>0.8*12</f>
        <v>9.6000000000000014</v>
      </c>
      <c r="C53" s="16">
        <f>1*12</f>
        <v>12</v>
      </c>
      <c r="D53" s="16"/>
      <c r="E53" s="17"/>
      <c r="F53" s="17"/>
      <c r="G53" s="11" t="s">
        <v>92</v>
      </c>
    </row>
    <row r="54" spans="1:8" ht="15.75" customHeight="1" x14ac:dyDescent="0.2">
      <c r="B54" s="16">
        <f>5*12</f>
        <v>60</v>
      </c>
      <c r="C54" s="16">
        <f>6*12</f>
        <v>72</v>
      </c>
      <c r="D54" s="16">
        <f>9*12</f>
        <v>108</v>
      </c>
      <c r="E54" s="17"/>
      <c r="F54" s="17"/>
      <c r="G54" s="11" t="s">
        <v>73</v>
      </c>
    </row>
    <row r="55" spans="1:8" ht="12.75" x14ac:dyDescent="0.2">
      <c r="B55" s="16">
        <f>15*12</f>
        <v>180</v>
      </c>
      <c r="C55" s="16">
        <f>20*12</f>
        <v>240</v>
      </c>
      <c r="D55" s="16">
        <f>25*12</f>
        <v>300</v>
      </c>
      <c r="E55" s="16">
        <f>30*12</f>
        <v>360</v>
      </c>
      <c r="F55" s="17"/>
      <c r="G55" s="11" t="s">
        <v>83</v>
      </c>
    </row>
    <row r="56" spans="1:8" ht="12.75" x14ac:dyDescent="0.2">
      <c r="B56" s="16">
        <f>30*12</f>
        <v>360</v>
      </c>
      <c r="C56" s="16">
        <f>60*12</f>
        <v>720</v>
      </c>
      <c r="D56" s="16">
        <f>90*12</f>
        <v>1080</v>
      </c>
      <c r="E56" s="16">
        <f>120*12</f>
        <v>1440</v>
      </c>
      <c r="F56" s="16">
        <f>150*12</f>
        <v>1800</v>
      </c>
      <c r="G56" s="11" t="s">
        <v>87</v>
      </c>
    </row>
    <row r="57" spans="1:8" ht="12.75" x14ac:dyDescent="0.2"/>
    <row r="58" spans="1:8" ht="15.75" customHeight="1" x14ac:dyDescent="0.2">
      <c r="B58" s="20" t="s">
        <v>102</v>
      </c>
      <c r="C58" s="20" t="s">
        <v>103</v>
      </c>
      <c r="D58" s="20" t="s">
        <v>104</v>
      </c>
      <c r="E58" s="20" t="s">
        <v>105</v>
      </c>
      <c r="F58" s="20" t="s">
        <v>106</v>
      </c>
      <c r="G58" s="20" t="s">
        <v>107</v>
      </c>
    </row>
    <row r="59" spans="1:8" ht="15.75" customHeight="1" x14ac:dyDescent="0.2">
      <c r="B59" s="17">
        <f>4*12</f>
        <v>48</v>
      </c>
      <c r="C59" s="17">
        <f>6*12</f>
        <v>72</v>
      </c>
      <c r="D59" s="17">
        <f>9*12</f>
        <v>108</v>
      </c>
      <c r="E59" s="17">
        <f>10*12</f>
        <v>120</v>
      </c>
      <c r="F59" s="17">
        <f>15*12</f>
        <v>180</v>
      </c>
      <c r="G59" s="17">
        <f>25*12</f>
        <v>300</v>
      </c>
    </row>
    <row r="61" spans="1:8" ht="15.75" customHeight="1" x14ac:dyDescent="0.2">
      <c r="B61" s="20" t="s">
        <v>112</v>
      </c>
      <c r="C61" s="20" t="s">
        <v>113</v>
      </c>
      <c r="D61" s="20" t="s">
        <v>114</v>
      </c>
      <c r="E61" s="20" t="s">
        <v>115</v>
      </c>
      <c r="F61" s="20" t="s">
        <v>116</v>
      </c>
      <c r="G61" s="20" t="s">
        <v>117</v>
      </c>
      <c r="H61" s="1" t="s">
        <v>118</v>
      </c>
    </row>
    <row r="62" spans="1:8" ht="12.75" x14ac:dyDescent="0.2">
      <c r="A62" s="1" t="s">
        <v>119</v>
      </c>
      <c r="B62" s="17">
        <f>200*1*12</f>
        <v>2400</v>
      </c>
      <c r="C62" s="17">
        <f>200*2*12</f>
        <v>4800</v>
      </c>
      <c r="D62" s="17">
        <f>200*3*12</f>
        <v>7200</v>
      </c>
      <c r="E62" s="17">
        <f>200*4*12</f>
        <v>9600</v>
      </c>
      <c r="F62" s="17">
        <f>200*5*12</f>
        <v>12000</v>
      </c>
      <c r="G62" s="17">
        <f>200*6*12</f>
        <v>14400</v>
      </c>
      <c r="H62" s="17">
        <f>200*7*12</f>
        <v>16800</v>
      </c>
    </row>
    <row r="63" spans="1:8" ht="12.75" x14ac:dyDescent="0.2">
      <c r="A63" s="1" t="s">
        <v>121</v>
      </c>
      <c r="B63" s="17">
        <f>300*1*12</f>
        <v>3600</v>
      </c>
      <c r="C63" s="17">
        <f>300*2*12</f>
        <v>7200</v>
      </c>
      <c r="D63" s="17">
        <f>300*3*12</f>
        <v>10800</v>
      </c>
      <c r="E63" s="17">
        <f>300*4*12</f>
        <v>14400</v>
      </c>
      <c r="F63" s="17">
        <f>300*5*12</f>
        <v>18000</v>
      </c>
      <c r="G63" s="17">
        <f>300*6*12</f>
        <v>21600</v>
      </c>
      <c r="H63" s="17">
        <f>300*7*12</f>
        <v>25200</v>
      </c>
    </row>
    <row r="64" spans="1:8" ht="12.75" x14ac:dyDescent="0.2"/>
    <row r="66" spans="1:5" ht="12.75" x14ac:dyDescent="0.2"/>
    <row r="67" spans="1:5" ht="12.75" x14ac:dyDescent="0.2"/>
    <row r="68" spans="1:5" ht="102" x14ac:dyDescent="0.2">
      <c r="A68" s="4" t="s">
        <v>124</v>
      </c>
      <c r="B68" s="4" t="s">
        <v>125</v>
      </c>
      <c r="C68" s="4" t="s">
        <v>126</v>
      </c>
      <c r="D68" s="4" t="s">
        <v>127</v>
      </c>
      <c r="E68" s="4" t="s">
        <v>128</v>
      </c>
    </row>
    <row r="69" spans="1:5" ht="15.75" customHeight="1" x14ac:dyDescent="0.2">
      <c r="A69" s="4" t="s">
        <v>129</v>
      </c>
      <c r="B69" s="4" t="s">
        <v>130</v>
      </c>
      <c r="C69" s="4" t="s">
        <v>131</v>
      </c>
      <c r="D69" s="4" t="s">
        <v>132</v>
      </c>
      <c r="E69" s="4" t="s">
        <v>134</v>
      </c>
    </row>
    <row r="70" spans="1:5" ht="12.75" x14ac:dyDescent="0.2">
      <c r="A70" s="1" t="s">
        <v>32</v>
      </c>
      <c r="B70" s="1" t="s">
        <v>135</v>
      </c>
      <c r="C70" s="1" t="s">
        <v>114</v>
      </c>
      <c r="D70" s="1" t="s">
        <v>136</v>
      </c>
      <c r="E70" s="1" t="s">
        <v>137</v>
      </c>
    </row>
    <row r="72" spans="1:5" ht="15.75" customHeight="1" x14ac:dyDescent="0.2">
      <c r="A72" s="1" t="s">
        <v>138</v>
      </c>
    </row>
    <row r="73" spans="1:5" ht="15.75" customHeight="1" x14ac:dyDescent="0.2">
      <c r="A73" s="1" t="s">
        <v>80</v>
      </c>
    </row>
    <row r="79" spans="1:5" ht="12.75" x14ac:dyDescent="0.2">
      <c r="A79" s="24"/>
    </row>
    <row r="80" spans="1:5" ht="12.75" x14ac:dyDescent="0.2">
      <c r="A80" s="24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Baronierechner</vt:lpstr>
      <vt:lpstr>Eigene Domäne</vt:lpstr>
      <vt:lpstr>Grundregeln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Dr. Christoph Schlude</cp:lastModifiedBy>
  <dcterms:created xsi:type="dcterms:W3CDTF">2017-12-07T08:31:13Z</dcterms:created>
  <dcterms:modified xsi:type="dcterms:W3CDTF">2017-12-07T19:27:27Z</dcterms:modified>
</cp:coreProperties>
</file>